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900" yWindow="1470" windowWidth="8820" windowHeight="9105" tabRatio="853"/>
  </bookViews>
  <sheets>
    <sheet name="March 2014" sheetId="24" r:id="rId1"/>
  </sheets>
  <definedNames>
    <definedName name="_xlnm.Print_Area" localSheetId="0">'March 2014'!$A$1:$AM$187</definedName>
    <definedName name="_xlnm.Print_Titles" localSheetId="0">'March 2014'!$3:$5</definedName>
  </definedNames>
  <calcPr calcId="144525"/>
</workbook>
</file>

<file path=xl/calcChain.xml><?xml version="1.0" encoding="utf-8"?>
<calcChain xmlns="http://schemas.openxmlformats.org/spreadsheetml/2006/main">
  <c r="AL152" i="24" l="1"/>
  <c r="AB152" i="24"/>
  <c r="AB151" i="24"/>
  <c r="AB150" i="24"/>
  <c r="AB149" i="24"/>
  <c r="AB148" i="24"/>
  <c r="AB147" i="24"/>
  <c r="AB146" i="24"/>
  <c r="AB145" i="24"/>
  <c r="AB144" i="24"/>
  <c r="AB143" i="24"/>
  <c r="AB142" i="24"/>
  <c r="AB141" i="24"/>
  <c r="AB140" i="24"/>
  <c r="AB139" i="24"/>
  <c r="AB138" i="24"/>
  <c r="AB137" i="24"/>
  <c r="AB134" i="24"/>
  <c r="AB133" i="24"/>
  <c r="AB132" i="24"/>
  <c r="AB131" i="24"/>
  <c r="AB130" i="24"/>
  <c r="AB129" i="24"/>
  <c r="AB128" i="24"/>
  <c r="AB127" i="24"/>
  <c r="AB126" i="24"/>
  <c r="AB125" i="24"/>
  <c r="AB124" i="24"/>
  <c r="AB123" i="24"/>
  <c r="AB122" i="24"/>
  <c r="AB121" i="24"/>
  <c r="AB120" i="24"/>
  <c r="AB119" i="24"/>
  <c r="AB118" i="24"/>
  <c r="AB117" i="24"/>
  <c r="AB116" i="24"/>
  <c r="AB115" i="24"/>
  <c r="AB114" i="24"/>
  <c r="AB113" i="24"/>
  <c r="AB112" i="24"/>
  <c r="AB111" i="24"/>
  <c r="AB110" i="24"/>
  <c r="AB109" i="24"/>
  <c r="AB108" i="24"/>
  <c r="AB107" i="24"/>
  <c r="AB106" i="24"/>
  <c r="AB105" i="24"/>
  <c r="AB104" i="24"/>
  <c r="AB103" i="24"/>
  <c r="AB102" i="24"/>
  <c r="AB101" i="24"/>
  <c r="AB100" i="24"/>
  <c r="AB99" i="24"/>
  <c r="AB98" i="24"/>
  <c r="AB97" i="24"/>
  <c r="AB96" i="24"/>
  <c r="AB95" i="24"/>
  <c r="AB94" i="24"/>
  <c r="AB93" i="24"/>
  <c r="AB92" i="24"/>
  <c r="AB91" i="24"/>
  <c r="AB90" i="24"/>
  <c r="AB89" i="24"/>
  <c r="AB88" i="24"/>
  <c r="AB87" i="24"/>
  <c r="AB86" i="24"/>
  <c r="AB85" i="24"/>
  <c r="AB84" i="24"/>
  <c r="AB83" i="24"/>
  <c r="AB82" i="24"/>
  <c r="AB81" i="24"/>
  <c r="AB80" i="24"/>
  <c r="AB79" i="24"/>
  <c r="AB78" i="24"/>
  <c r="AB77" i="24"/>
  <c r="AB76" i="24"/>
  <c r="AB75" i="24"/>
  <c r="AB74" i="24"/>
  <c r="AB73" i="24"/>
  <c r="AB72" i="24"/>
  <c r="AB71" i="24"/>
  <c r="AB70" i="24"/>
  <c r="AB69" i="24"/>
  <c r="AB68" i="24"/>
  <c r="AB67" i="24"/>
  <c r="AB66" i="24"/>
  <c r="AB65" i="24"/>
  <c r="AB64" i="24"/>
  <c r="AB63" i="24"/>
  <c r="AB62" i="24"/>
  <c r="AB61" i="24"/>
  <c r="AB60" i="24"/>
  <c r="AB59" i="24"/>
  <c r="AB58" i="24"/>
  <c r="AB57" i="24"/>
  <c r="AB56" i="24"/>
  <c r="AB55" i="24"/>
  <c r="AB54" i="24"/>
  <c r="AB53" i="24"/>
  <c r="AB52" i="24"/>
  <c r="AB51" i="24"/>
  <c r="AB50" i="24"/>
  <c r="AB49" i="24"/>
  <c r="AB48" i="24"/>
  <c r="AB47" i="24"/>
  <c r="AB46" i="24"/>
  <c r="AB45" i="24"/>
  <c r="AB44" i="24"/>
  <c r="AB43" i="24"/>
  <c r="AB42" i="24"/>
  <c r="AB41" i="24"/>
  <c r="AB40" i="24"/>
  <c r="AB39" i="24"/>
  <c r="AB38" i="24"/>
  <c r="AB37" i="24"/>
  <c r="AB34" i="24"/>
  <c r="AB33" i="24"/>
  <c r="AB32" i="24"/>
  <c r="AB31" i="24"/>
  <c r="AB30" i="24"/>
  <c r="AB29" i="24"/>
  <c r="AB28" i="24"/>
  <c r="AB27" i="24"/>
  <c r="AB26" i="24"/>
  <c r="AB25" i="24"/>
  <c r="AB24" i="24"/>
  <c r="AB23" i="24"/>
  <c r="AB22" i="24"/>
  <c r="AB21" i="24"/>
  <c r="AB20" i="24"/>
  <c r="AB19" i="24"/>
  <c r="AB18" i="24"/>
  <c r="AB17" i="24"/>
  <c r="AB16" i="24"/>
  <c r="AB15" i="24"/>
  <c r="AB14" i="24"/>
  <c r="AB13" i="24"/>
  <c r="AB12" i="24"/>
  <c r="AB11" i="24"/>
  <c r="AB10" i="24"/>
  <c r="AB8" i="24"/>
  <c r="AB7" i="24"/>
  <c r="X152" i="24"/>
  <c r="X151" i="24"/>
  <c r="X150" i="24"/>
  <c r="X149" i="24"/>
  <c r="X148" i="24"/>
  <c r="X146" i="24"/>
  <c r="X145" i="24"/>
  <c r="X144" i="24"/>
  <c r="X143" i="24"/>
  <c r="X134" i="24"/>
  <c r="X133" i="24"/>
  <c r="X132" i="24"/>
  <c r="X131" i="24"/>
  <c r="X130" i="24"/>
  <c r="X129" i="24"/>
  <c r="X128" i="24"/>
  <c r="X127" i="24"/>
  <c r="X126" i="24"/>
  <c r="X125" i="24"/>
  <c r="X124" i="24"/>
  <c r="X123" i="24"/>
  <c r="X122" i="24"/>
  <c r="X121" i="24"/>
  <c r="X120" i="24"/>
  <c r="X119" i="24"/>
  <c r="X118" i="24"/>
  <c r="X117" i="24"/>
  <c r="X116" i="24"/>
  <c r="X115" i="24"/>
  <c r="X114" i="24"/>
  <c r="X113" i="24"/>
  <c r="X112" i="24"/>
  <c r="X111" i="24"/>
  <c r="X110" i="24"/>
  <c r="X109" i="24"/>
  <c r="X108" i="24"/>
  <c r="X107" i="24"/>
  <c r="X106" i="24"/>
  <c r="X105" i="24"/>
  <c r="X104" i="24"/>
  <c r="X103" i="24"/>
  <c r="X102" i="24"/>
  <c r="X101" i="24"/>
  <c r="X100" i="24"/>
  <c r="X99" i="24"/>
  <c r="X98" i="24"/>
  <c r="X97" i="24"/>
  <c r="X96" i="24"/>
  <c r="X95" i="24"/>
  <c r="X94" i="24"/>
  <c r="X93" i="24"/>
  <c r="X92" i="24"/>
  <c r="X91" i="24"/>
  <c r="X90" i="24"/>
  <c r="X89" i="24"/>
  <c r="X88" i="24"/>
  <c r="X87" i="24"/>
  <c r="X86" i="24"/>
  <c r="X85" i="24"/>
  <c r="X84" i="24"/>
  <c r="X83" i="24"/>
  <c r="X82" i="24"/>
  <c r="X81" i="24"/>
  <c r="X80" i="24"/>
  <c r="X79" i="24"/>
  <c r="X78" i="24"/>
  <c r="X77" i="24"/>
  <c r="X76" i="24"/>
  <c r="X75" i="24"/>
  <c r="X74" i="24"/>
  <c r="X73" i="24"/>
  <c r="X72" i="24"/>
  <c r="X71" i="24"/>
  <c r="X70" i="24"/>
  <c r="X69" i="24"/>
  <c r="X68" i="24"/>
  <c r="X67" i="24"/>
  <c r="X66" i="24"/>
  <c r="X65" i="24"/>
  <c r="X64" i="24"/>
  <c r="X63" i="24"/>
  <c r="X62" i="24"/>
  <c r="X61" i="24"/>
  <c r="X60" i="24"/>
  <c r="X59" i="24"/>
  <c r="X58" i="24"/>
  <c r="X57" i="24"/>
  <c r="X56" i="24"/>
  <c r="X55" i="24"/>
  <c r="X54" i="24"/>
  <c r="X53" i="24"/>
  <c r="X52" i="24"/>
  <c r="X51" i="24"/>
  <c r="X50" i="24"/>
  <c r="X49" i="24"/>
  <c r="X48" i="24"/>
  <c r="X47" i="24"/>
  <c r="X46" i="24"/>
  <c r="X45" i="24"/>
  <c r="X44" i="24"/>
  <c r="X43" i="24"/>
  <c r="X42" i="24"/>
  <c r="X41" i="24"/>
  <c r="X40" i="24"/>
  <c r="X39" i="24"/>
  <c r="X38" i="24"/>
  <c r="X37" i="24"/>
  <c r="X34" i="24"/>
  <c r="X33" i="24"/>
  <c r="X32" i="24"/>
  <c r="X31" i="24"/>
  <c r="X30" i="24"/>
  <c r="X29" i="24"/>
  <c r="X28" i="24"/>
  <c r="X27" i="24"/>
  <c r="X26" i="24"/>
  <c r="X25" i="24"/>
  <c r="X24" i="24"/>
  <c r="X23" i="24"/>
  <c r="X22" i="24"/>
  <c r="X21" i="24"/>
  <c r="X20" i="24"/>
  <c r="X19" i="24"/>
  <c r="X18" i="24"/>
  <c r="X17" i="24"/>
  <c r="X16" i="24"/>
  <c r="X15" i="24"/>
  <c r="X14" i="24"/>
  <c r="X13" i="24"/>
  <c r="X12" i="24"/>
  <c r="X11" i="24"/>
  <c r="X10" i="24"/>
  <c r="X9" i="24"/>
  <c r="X8" i="24"/>
  <c r="X7" i="24"/>
  <c r="T75" i="24"/>
  <c r="P7" i="24"/>
  <c r="P8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75" i="24"/>
  <c r="L75" i="24"/>
  <c r="AC75" i="24" l="1"/>
  <c r="P151" i="24" l="1"/>
  <c r="P150" i="24"/>
  <c r="P149" i="24"/>
  <c r="P148" i="24"/>
  <c r="P146" i="24"/>
  <c r="P145" i="24"/>
  <c r="P144" i="24"/>
  <c r="P143" i="24"/>
  <c r="P134" i="24"/>
  <c r="P133" i="24"/>
  <c r="P132" i="24"/>
  <c r="P131" i="24"/>
  <c r="P130" i="24"/>
  <c r="P129" i="24"/>
  <c r="P128" i="24"/>
  <c r="P127" i="24"/>
  <c r="P126" i="24"/>
  <c r="P125" i="24"/>
  <c r="P124" i="24"/>
  <c r="P123" i="24"/>
  <c r="P122" i="24"/>
  <c r="P121" i="24"/>
  <c r="P120" i="24"/>
  <c r="P119" i="24"/>
  <c r="P118" i="24"/>
  <c r="P117" i="24"/>
  <c r="P116" i="24"/>
  <c r="P115" i="24"/>
  <c r="P114" i="24"/>
  <c r="P113" i="24"/>
  <c r="P112" i="24"/>
  <c r="P111" i="24"/>
  <c r="P110" i="24"/>
  <c r="P109" i="24"/>
  <c r="P108" i="24"/>
  <c r="P107" i="24"/>
  <c r="P106" i="24"/>
  <c r="P105" i="24"/>
  <c r="P104" i="24"/>
  <c r="P103" i="24"/>
  <c r="P102" i="24"/>
  <c r="P101" i="24"/>
  <c r="P100" i="24"/>
  <c r="P99" i="24"/>
  <c r="P98" i="24"/>
  <c r="P97" i="24"/>
  <c r="P96" i="24"/>
  <c r="P95" i="24"/>
  <c r="P94" i="24"/>
  <c r="P93" i="24"/>
  <c r="P92" i="24"/>
  <c r="P91" i="24"/>
  <c r="P90" i="24"/>
  <c r="P89" i="24"/>
  <c r="P88" i="24"/>
  <c r="P87" i="24"/>
  <c r="P86" i="24"/>
  <c r="P85" i="24"/>
  <c r="P84" i="24"/>
  <c r="P83" i="24"/>
  <c r="P82" i="24"/>
  <c r="P81" i="24"/>
  <c r="P80" i="24"/>
  <c r="P79" i="24"/>
  <c r="P78" i="24"/>
  <c r="P77" i="24"/>
  <c r="P76" i="24"/>
  <c r="P74" i="24"/>
  <c r="P73" i="24"/>
  <c r="P72" i="24"/>
  <c r="P71" i="24"/>
  <c r="P70" i="24"/>
  <c r="P69" i="24"/>
  <c r="P68" i="24"/>
  <c r="P67" i="24"/>
  <c r="P66" i="24"/>
  <c r="P65" i="24"/>
  <c r="P64" i="24"/>
  <c r="P63" i="24"/>
  <c r="P62" i="24"/>
  <c r="P61" i="24"/>
  <c r="P60" i="24"/>
  <c r="P59" i="24"/>
  <c r="P58" i="24"/>
  <c r="P57" i="24"/>
  <c r="P56" i="24"/>
  <c r="P55" i="24"/>
  <c r="P54" i="24"/>
  <c r="P53" i="24"/>
  <c r="P52" i="24"/>
  <c r="P51" i="24"/>
  <c r="P50" i="24"/>
  <c r="P49" i="24"/>
  <c r="P48" i="24"/>
  <c r="P47" i="24"/>
  <c r="P46" i="24"/>
  <c r="P45" i="24"/>
  <c r="P44" i="24"/>
  <c r="P43" i="24"/>
  <c r="P42" i="24"/>
  <c r="P41" i="24"/>
  <c r="P40" i="24"/>
  <c r="P39" i="24"/>
  <c r="P38" i="24"/>
  <c r="P37" i="24"/>
  <c r="T34" i="24"/>
  <c r="T33" i="24"/>
  <c r="T32" i="24"/>
  <c r="T31" i="24"/>
  <c r="T30" i="24"/>
  <c r="T29" i="24"/>
  <c r="T28" i="24"/>
  <c r="T27" i="24"/>
  <c r="T26" i="24"/>
  <c r="T25" i="24"/>
  <c r="T24" i="24"/>
  <c r="T23" i="24"/>
  <c r="T22" i="24"/>
  <c r="T21" i="24"/>
  <c r="T20" i="24"/>
  <c r="T19" i="24"/>
  <c r="T18" i="24"/>
  <c r="T17" i="24"/>
  <c r="T16" i="24"/>
  <c r="T15" i="24"/>
  <c r="T14" i="24"/>
  <c r="T13" i="24"/>
  <c r="T12" i="24"/>
  <c r="T11" i="24"/>
  <c r="T10" i="24"/>
  <c r="T8" i="24"/>
  <c r="T7" i="24"/>
  <c r="T134" i="24"/>
  <c r="T133" i="24"/>
  <c r="T132" i="24"/>
  <c r="T131" i="24"/>
  <c r="T130" i="24"/>
  <c r="T129" i="24"/>
  <c r="T128" i="24"/>
  <c r="T127" i="24"/>
  <c r="T126" i="24"/>
  <c r="T125" i="24"/>
  <c r="T124" i="24"/>
  <c r="T123" i="24"/>
  <c r="T122" i="24"/>
  <c r="T121" i="24"/>
  <c r="T120" i="24"/>
  <c r="T119" i="24"/>
  <c r="T118" i="24"/>
  <c r="T117" i="24"/>
  <c r="T116" i="24"/>
  <c r="T115" i="24"/>
  <c r="T114" i="24"/>
  <c r="T113" i="24"/>
  <c r="T112" i="24"/>
  <c r="T111" i="24"/>
  <c r="T110" i="24"/>
  <c r="T109" i="24"/>
  <c r="T108" i="24"/>
  <c r="T107" i="24"/>
  <c r="T106" i="24"/>
  <c r="T105" i="24"/>
  <c r="T104" i="24"/>
  <c r="T103" i="24"/>
  <c r="T102" i="24"/>
  <c r="T101" i="24"/>
  <c r="T100" i="24"/>
  <c r="T99" i="24"/>
  <c r="T98" i="24"/>
  <c r="T97" i="24"/>
  <c r="T96" i="24"/>
  <c r="T95" i="24"/>
  <c r="T94" i="24"/>
  <c r="T93" i="24"/>
  <c r="T92" i="24"/>
  <c r="T91" i="24"/>
  <c r="T90" i="24"/>
  <c r="T89" i="24"/>
  <c r="T88" i="24"/>
  <c r="T87" i="24"/>
  <c r="T86" i="24"/>
  <c r="T85" i="24"/>
  <c r="T84" i="24"/>
  <c r="T83" i="24"/>
  <c r="T82" i="24"/>
  <c r="T81" i="24"/>
  <c r="T80" i="24"/>
  <c r="T79" i="24"/>
  <c r="T78" i="24"/>
  <c r="T77" i="24"/>
  <c r="T76" i="24"/>
  <c r="T74" i="24"/>
  <c r="T73" i="24"/>
  <c r="T72" i="24"/>
  <c r="T71" i="24"/>
  <c r="T70" i="24"/>
  <c r="T69" i="24"/>
  <c r="T68" i="24"/>
  <c r="T67" i="24"/>
  <c r="T66" i="24"/>
  <c r="T65" i="24"/>
  <c r="T64" i="24"/>
  <c r="T63" i="24"/>
  <c r="T62" i="24"/>
  <c r="T61" i="24"/>
  <c r="T60" i="24"/>
  <c r="T59" i="24"/>
  <c r="T58" i="24"/>
  <c r="T57" i="24"/>
  <c r="T56" i="24"/>
  <c r="T55" i="24"/>
  <c r="T54" i="24"/>
  <c r="T53" i="24"/>
  <c r="T52" i="24"/>
  <c r="T51" i="24"/>
  <c r="T50" i="24"/>
  <c r="T49" i="24"/>
  <c r="T48" i="24"/>
  <c r="T47" i="24"/>
  <c r="T46" i="24"/>
  <c r="T45" i="24"/>
  <c r="T44" i="24"/>
  <c r="T43" i="24"/>
  <c r="T42" i="24"/>
  <c r="T41" i="24"/>
  <c r="T40" i="24"/>
  <c r="T39" i="24"/>
  <c r="T38" i="24"/>
  <c r="T37" i="24"/>
  <c r="T151" i="24"/>
  <c r="T150" i="24"/>
  <c r="T149" i="24"/>
  <c r="T148" i="24"/>
  <c r="T146" i="24"/>
  <c r="T145" i="24"/>
  <c r="T144" i="24"/>
  <c r="T143" i="24"/>
  <c r="AC151" i="24"/>
  <c r="AA156" i="24"/>
  <c r="Z156" i="24"/>
  <c r="Y156" i="24"/>
  <c r="AA155" i="24"/>
  <c r="Z155" i="24"/>
  <c r="Y155" i="24"/>
  <c r="Z154" i="24"/>
  <c r="Y154" i="24"/>
  <c r="V156" i="24"/>
  <c r="W155" i="24"/>
  <c r="V155" i="24"/>
  <c r="U155" i="24"/>
  <c r="W154" i="24"/>
  <c r="V154" i="24"/>
  <c r="U154" i="24"/>
  <c r="S155" i="24"/>
  <c r="R155" i="24"/>
  <c r="Q155" i="24"/>
  <c r="R154" i="24"/>
  <c r="O155" i="24"/>
  <c r="N155" i="24"/>
  <c r="M155" i="24"/>
  <c r="N154" i="24"/>
  <c r="Q140" i="24"/>
  <c r="T140" i="24" s="1"/>
  <c r="S140" i="24"/>
  <c r="U140" i="24"/>
  <c r="W140" i="24"/>
  <c r="X154" i="24" l="1"/>
  <c r="Z157" i="24"/>
  <c r="AB156" i="24"/>
  <c r="X140" i="24"/>
  <c r="P155" i="24"/>
  <c r="V157" i="24"/>
  <c r="AB155" i="24"/>
  <c r="X155" i="24"/>
  <c r="T155" i="24"/>
  <c r="Y157" i="24"/>
  <c r="S152" i="24"/>
  <c r="R152" i="24"/>
  <c r="O152" i="24"/>
  <c r="N152" i="24"/>
  <c r="L152" i="24"/>
  <c r="W147" i="24"/>
  <c r="U147" i="24"/>
  <c r="S147" i="24"/>
  <c r="Q147" i="24"/>
  <c r="O147" i="24"/>
  <c r="M147" i="24"/>
  <c r="K147" i="24"/>
  <c r="I147" i="24"/>
  <c r="W138" i="24"/>
  <c r="U138" i="24"/>
  <c r="S138" i="24"/>
  <c r="Q138" i="24"/>
  <c r="O138" i="24"/>
  <c r="M138" i="24"/>
  <c r="P138" i="24" s="1"/>
  <c r="K138" i="24"/>
  <c r="I138" i="24"/>
  <c r="W142" i="24"/>
  <c r="U142" i="24"/>
  <c r="X142" i="24" s="1"/>
  <c r="S142" i="24"/>
  <c r="Q142" i="24"/>
  <c r="O142" i="24"/>
  <c r="M142" i="24"/>
  <c r="P142" i="24" s="1"/>
  <c r="K142" i="24"/>
  <c r="I142" i="24"/>
  <c r="W141" i="24"/>
  <c r="U141" i="24"/>
  <c r="X141" i="24" s="1"/>
  <c r="S141" i="24"/>
  <c r="Q141" i="24"/>
  <c r="O141" i="24"/>
  <c r="M141" i="24"/>
  <c r="P141" i="24" s="1"/>
  <c r="K141" i="24"/>
  <c r="I141" i="24"/>
  <c r="O140" i="24"/>
  <c r="M140" i="24"/>
  <c r="P140" i="24" s="1"/>
  <c r="K140" i="24"/>
  <c r="I140" i="24"/>
  <c r="W139" i="24"/>
  <c r="U139" i="24"/>
  <c r="X139" i="24" s="1"/>
  <c r="S139" i="24"/>
  <c r="Q139" i="24"/>
  <c r="O139" i="24"/>
  <c r="M139" i="24"/>
  <c r="P139" i="24" s="1"/>
  <c r="K139" i="24"/>
  <c r="I139" i="24"/>
  <c r="W137" i="24"/>
  <c r="W156" i="24" s="1"/>
  <c r="W157" i="24" s="1"/>
  <c r="U137" i="24"/>
  <c r="S137" i="24"/>
  <c r="S156" i="24" s="1"/>
  <c r="Q137" i="24"/>
  <c r="O137" i="24"/>
  <c r="O156" i="24" s="1"/>
  <c r="M137" i="24"/>
  <c r="K137" i="24"/>
  <c r="I137" i="24"/>
  <c r="X138" i="24" l="1"/>
  <c r="P147" i="24"/>
  <c r="X147" i="24"/>
  <c r="T139" i="24"/>
  <c r="T141" i="24"/>
  <c r="T142" i="24"/>
  <c r="T138" i="24"/>
  <c r="T147" i="24"/>
  <c r="P137" i="24"/>
  <c r="M156" i="24"/>
  <c r="X137" i="24"/>
  <c r="U156" i="24"/>
  <c r="R156" i="24"/>
  <c r="R157" i="24" s="1"/>
  <c r="T152" i="24"/>
  <c r="Q156" i="24"/>
  <c r="T137" i="24"/>
  <c r="P152" i="24"/>
  <c r="AC152" i="24" s="1"/>
  <c r="N156" i="24"/>
  <c r="N157" i="24" s="1"/>
  <c r="AK151" i="24"/>
  <c r="AK150" i="24"/>
  <c r="AK149" i="24"/>
  <c r="AK148" i="24"/>
  <c r="AK147" i="24"/>
  <c r="AK146" i="24"/>
  <c r="AK145" i="24"/>
  <c r="AK144" i="24"/>
  <c r="AK142" i="24"/>
  <c r="AK141" i="24"/>
  <c r="AK140" i="24"/>
  <c r="AK139" i="24"/>
  <c r="AK138" i="24"/>
  <c r="AK137" i="24"/>
  <c r="AG151" i="24"/>
  <c r="AG150" i="24"/>
  <c r="AG149" i="24"/>
  <c r="AG148" i="24"/>
  <c r="AG147" i="24"/>
  <c r="AG146" i="24"/>
  <c r="AG145" i="24"/>
  <c r="AG144" i="24"/>
  <c r="AG142" i="24"/>
  <c r="AG141" i="24"/>
  <c r="AG140" i="24"/>
  <c r="AG139" i="24"/>
  <c r="AG138" i="24"/>
  <c r="AG137" i="24"/>
  <c r="AC149" i="24"/>
  <c r="AC148" i="24"/>
  <c r="AC145" i="24"/>
  <c r="AC143" i="24"/>
  <c r="AC150" i="24"/>
  <c r="AC146" i="24"/>
  <c r="L146" i="24"/>
  <c r="T156" i="24" l="1"/>
  <c r="AL139" i="24"/>
  <c r="AL144" i="24"/>
  <c r="AL137" i="24"/>
  <c r="AL141" i="24"/>
  <c r="AL146" i="24"/>
  <c r="AL150" i="24"/>
  <c r="AL145" i="24"/>
  <c r="AL149" i="24"/>
  <c r="X156" i="24"/>
  <c r="U157" i="24"/>
  <c r="X157" i="24" s="1"/>
  <c r="AL138" i="24"/>
  <c r="AL142" i="24"/>
  <c r="AL147" i="24"/>
  <c r="AL151" i="24"/>
  <c r="P156" i="24"/>
  <c r="AL148" i="24"/>
  <c r="AC147" i="24"/>
  <c r="AC144" i="24"/>
  <c r="A110" i="24"/>
  <c r="L110" i="24"/>
  <c r="AC110" i="24"/>
  <c r="AG110" i="24"/>
  <c r="AK110" i="24"/>
  <c r="AL110" i="24" l="1"/>
  <c r="AC156" i="24"/>
  <c r="L151" i="24"/>
  <c r="K143" i="24"/>
  <c r="J143" i="24"/>
  <c r="A143" i="24"/>
  <c r="AG143" i="24"/>
  <c r="AK143" i="24"/>
  <c r="AL143" i="24" l="1"/>
  <c r="K156" i="24"/>
  <c r="L143" i="24"/>
  <c r="AK114" i="24"/>
  <c r="AI155" i="24"/>
  <c r="AK123" i="24"/>
  <c r="AG123" i="24"/>
  <c r="L123" i="24"/>
  <c r="L105" i="24"/>
  <c r="AK79" i="24"/>
  <c r="AG79" i="24"/>
  <c r="L79" i="24"/>
  <c r="AK116" i="24"/>
  <c r="AG116" i="24"/>
  <c r="L116" i="24"/>
  <c r="AK115" i="24"/>
  <c r="AG115" i="24"/>
  <c r="L115" i="24"/>
  <c r="AG114" i="24"/>
  <c r="AL114" i="24" s="1"/>
  <c r="L114" i="24"/>
  <c r="L113" i="24"/>
  <c r="AK113" i="24"/>
  <c r="AG113" i="24"/>
  <c r="I155" i="24"/>
  <c r="AJ156" i="24"/>
  <c r="AI156" i="24"/>
  <c r="AH156" i="24"/>
  <c r="AJ155" i="24"/>
  <c r="AH155" i="24"/>
  <c r="AJ154" i="24"/>
  <c r="AI154" i="24"/>
  <c r="AH154" i="24"/>
  <c r="AF156" i="24"/>
  <c r="AE156" i="24"/>
  <c r="AD156" i="24"/>
  <c r="AF155" i="24"/>
  <c r="AE155" i="24"/>
  <c r="AD155" i="24"/>
  <c r="AF154" i="24"/>
  <c r="AE154" i="24"/>
  <c r="AD154" i="24"/>
  <c r="J156" i="24"/>
  <c r="K155" i="24"/>
  <c r="J155" i="24"/>
  <c r="J154" i="24"/>
  <c r="A157" i="24"/>
  <c r="A156" i="24"/>
  <c r="A155" i="24"/>
  <c r="A154" i="24"/>
  <c r="L150" i="24"/>
  <c r="A150" i="24"/>
  <c r="L149" i="24"/>
  <c r="A149" i="24"/>
  <c r="L148" i="24"/>
  <c r="I156" i="24"/>
  <c r="A147" i="24"/>
  <c r="L145" i="24"/>
  <c r="L144" i="24"/>
  <c r="A144" i="24"/>
  <c r="AC142" i="24"/>
  <c r="L142" i="24"/>
  <c r="A142" i="24"/>
  <c r="AC141" i="24"/>
  <c r="L141" i="24"/>
  <c r="A141" i="24"/>
  <c r="L140" i="24"/>
  <c r="A140" i="24"/>
  <c r="L139" i="24"/>
  <c r="A139" i="24"/>
  <c r="AC138" i="24"/>
  <c r="L138" i="24"/>
  <c r="A138" i="24"/>
  <c r="AC137" i="24"/>
  <c r="L137" i="24"/>
  <c r="A137" i="24"/>
  <c r="A136" i="24"/>
  <c r="AK34" i="24"/>
  <c r="AG34" i="24"/>
  <c r="L34" i="24"/>
  <c r="A34" i="24"/>
  <c r="AK33" i="24"/>
  <c r="AG33" i="24"/>
  <c r="L33" i="24"/>
  <c r="A33" i="24"/>
  <c r="AK32" i="24"/>
  <c r="AG32" i="24"/>
  <c r="L32" i="24"/>
  <c r="A32" i="24"/>
  <c r="AK31" i="24"/>
  <c r="AG31" i="24"/>
  <c r="L31" i="24"/>
  <c r="A31" i="24"/>
  <c r="AK30" i="24"/>
  <c r="AG30" i="24"/>
  <c r="L30" i="24"/>
  <c r="A30" i="24"/>
  <c r="AK29" i="24"/>
  <c r="AG29" i="24"/>
  <c r="L29" i="24"/>
  <c r="A29" i="24"/>
  <c r="AK28" i="24"/>
  <c r="AG28" i="24"/>
  <c r="L28" i="24"/>
  <c r="A28" i="24"/>
  <c r="AK27" i="24"/>
  <c r="AG27" i="24"/>
  <c r="L27" i="24"/>
  <c r="A27" i="24"/>
  <c r="AK26" i="24"/>
  <c r="AG26" i="24"/>
  <c r="L26" i="24"/>
  <c r="A26" i="24"/>
  <c r="AK25" i="24"/>
  <c r="AG25" i="24"/>
  <c r="L25" i="24"/>
  <c r="A25" i="24"/>
  <c r="AK24" i="24"/>
  <c r="AG24" i="24"/>
  <c r="L24" i="24"/>
  <c r="A24" i="24"/>
  <c r="AK23" i="24"/>
  <c r="AG23" i="24"/>
  <c r="L23" i="24"/>
  <c r="A23" i="24"/>
  <c r="AK22" i="24"/>
  <c r="AG22" i="24"/>
  <c r="L22" i="24"/>
  <c r="A22" i="24"/>
  <c r="AK21" i="24"/>
  <c r="AG21" i="24"/>
  <c r="L21" i="24"/>
  <c r="A21" i="24"/>
  <c r="AK20" i="24"/>
  <c r="AG20" i="24"/>
  <c r="L20" i="24"/>
  <c r="A20" i="24"/>
  <c r="AK19" i="24"/>
  <c r="AG19" i="24"/>
  <c r="L19" i="24"/>
  <c r="A19" i="24"/>
  <c r="AK18" i="24"/>
  <c r="AG18" i="24"/>
  <c r="L18" i="24"/>
  <c r="A18" i="24"/>
  <c r="AK17" i="24"/>
  <c r="AG17" i="24"/>
  <c r="L17" i="24"/>
  <c r="A17" i="24"/>
  <c r="AK16" i="24"/>
  <c r="AG16" i="24"/>
  <c r="L16" i="24"/>
  <c r="A16" i="24"/>
  <c r="AK15" i="24"/>
  <c r="AG15" i="24"/>
  <c r="L15" i="24"/>
  <c r="A15" i="24"/>
  <c r="AK14" i="24"/>
  <c r="AG14" i="24"/>
  <c r="L14" i="24"/>
  <c r="A14" i="24"/>
  <c r="AK13" i="24"/>
  <c r="AG13" i="24"/>
  <c r="L13" i="24"/>
  <c r="A13" i="24"/>
  <c r="AK12" i="24"/>
  <c r="AG12" i="24"/>
  <c r="L12" i="24"/>
  <c r="A12" i="24"/>
  <c r="AK11" i="24"/>
  <c r="AG11" i="24"/>
  <c r="L11" i="24"/>
  <c r="A11" i="24"/>
  <c r="AK10" i="24"/>
  <c r="AG10" i="24"/>
  <c r="L10" i="24"/>
  <c r="A10" i="24"/>
  <c r="AK9" i="24"/>
  <c r="AG9" i="24"/>
  <c r="AA9" i="24"/>
  <c r="S9" i="24"/>
  <c r="S154" i="24" s="1"/>
  <c r="S157" i="24" s="1"/>
  <c r="Q9" i="24"/>
  <c r="O9" i="24"/>
  <c r="O154" i="24" s="1"/>
  <c r="O157" i="24" s="1"/>
  <c r="M9" i="24"/>
  <c r="K9" i="24"/>
  <c r="I9" i="24"/>
  <c r="I154" i="24" s="1"/>
  <c r="A9" i="24"/>
  <c r="AK8" i="24"/>
  <c r="AG8" i="24"/>
  <c r="L8" i="24"/>
  <c r="A8" i="24"/>
  <c r="AK7" i="24"/>
  <c r="AG7" i="24"/>
  <c r="L7" i="24"/>
  <c r="A7" i="24"/>
  <c r="T9" i="24" l="1"/>
  <c r="Q154" i="24"/>
  <c r="P9" i="24"/>
  <c r="M154" i="24"/>
  <c r="AB9" i="24"/>
  <c r="AA154" i="24"/>
  <c r="AC140" i="24"/>
  <c r="L156" i="24"/>
  <c r="AC79" i="24"/>
  <c r="AL123" i="24"/>
  <c r="AC116" i="24"/>
  <c r="AL79" i="24"/>
  <c r="AC123" i="24"/>
  <c r="AC115" i="24"/>
  <c r="AL113" i="24"/>
  <c r="AC114" i="24"/>
  <c r="AL115" i="24"/>
  <c r="AL116" i="24"/>
  <c r="AC113" i="24"/>
  <c r="AL12" i="24"/>
  <c r="AC21" i="24"/>
  <c r="AL26" i="24"/>
  <c r="AC13" i="24"/>
  <c r="AG155" i="24"/>
  <c r="AJ157" i="24"/>
  <c r="AK156" i="24"/>
  <c r="AC17" i="24"/>
  <c r="AE157" i="24"/>
  <c r="AH157" i="24"/>
  <c r="AL27" i="24"/>
  <c r="AC139" i="24"/>
  <c r="AL23" i="24"/>
  <c r="AL34" i="24"/>
  <c r="AL24" i="24"/>
  <c r="K154" i="24"/>
  <c r="AL9" i="24"/>
  <c r="AL11" i="24"/>
  <c r="AC33" i="24"/>
  <c r="AL140" i="24"/>
  <c r="AL7" i="24"/>
  <c r="AL10" i="24"/>
  <c r="AL25" i="24"/>
  <c r="AF157" i="24"/>
  <c r="AG156" i="24"/>
  <c r="AL156" i="24" s="1"/>
  <c r="AI157" i="24"/>
  <c r="J157" i="24"/>
  <c r="AD157" i="24"/>
  <c r="AK155" i="24"/>
  <c r="AK154" i="24"/>
  <c r="AG154" i="24"/>
  <c r="L147" i="24"/>
  <c r="L155" i="24"/>
  <c r="AL18" i="24"/>
  <c r="AL19" i="24"/>
  <c r="AL20" i="24"/>
  <c r="AL21" i="24"/>
  <c r="AC27" i="24"/>
  <c r="AL30" i="24"/>
  <c r="AL31" i="24"/>
  <c r="AL33" i="24"/>
  <c r="AC31" i="24"/>
  <c r="AL8" i="24"/>
  <c r="AC10" i="24"/>
  <c r="AL13" i="24"/>
  <c r="AL14" i="24"/>
  <c r="AL15" i="24"/>
  <c r="AL16" i="24"/>
  <c r="AL17" i="24"/>
  <c r="AL22" i="24"/>
  <c r="AL28" i="24"/>
  <c r="AL29" i="24"/>
  <c r="AL32" i="24"/>
  <c r="L9" i="24"/>
  <c r="AC14" i="24"/>
  <c r="AC18" i="24"/>
  <c r="AC22" i="24"/>
  <c r="AC23" i="24"/>
  <c r="AC28" i="24"/>
  <c r="AC32" i="24"/>
  <c r="AC34" i="24"/>
  <c r="AC7" i="24"/>
  <c r="AC15" i="24"/>
  <c r="AC19" i="24"/>
  <c r="AC24" i="24"/>
  <c r="AC25" i="24"/>
  <c r="AC29" i="24"/>
  <c r="AC8" i="24"/>
  <c r="AC11" i="24"/>
  <c r="AC12" i="24"/>
  <c r="AC16" i="24"/>
  <c r="AC20" i="24"/>
  <c r="AC26" i="24"/>
  <c r="AC30" i="24"/>
  <c r="AA157" i="24" l="1"/>
  <c r="AB157" i="24" s="1"/>
  <c r="AB154" i="24"/>
  <c r="P154" i="24"/>
  <c r="M157" i="24"/>
  <c r="P157" i="24" s="1"/>
  <c r="T154" i="24"/>
  <c r="Q157" i="24"/>
  <c r="T157" i="24" s="1"/>
  <c r="AK157" i="24"/>
  <c r="AL155" i="24"/>
  <c r="K157" i="24"/>
  <c r="L154" i="24"/>
  <c r="I157" i="24"/>
  <c r="AG157" i="24"/>
  <c r="AL154" i="24"/>
  <c r="AC155" i="24"/>
  <c r="AC9" i="24"/>
  <c r="AC154" i="24" l="1"/>
  <c r="AC157" i="24"/>
  <c r="L157" i="24"/>
  <c r="AL157" i="24"/>
  <c r="L88" i="24" l="1"/>
  <c r="L128" i="24"/>
  <c r="AG128" i="24"/>
  <c r="AK128" i="24"/>
  <c r="AK119" i="24"/>
  <c r="AG119" i="24"/>
  <c r="L119" i="24"/>
  <c r="L129" i="24"/>
  <c r="AK129" i="24"/>
  <c r="AG129" i="24"/>
  <c r="AK105" i="24"/>
  <c r="AG105" i="24"/>
  <c r="AL119" i="24" l="1"/>
  <c r="AL129" i="24"/>
  <c r="AC119" i="24"/>
  <c r="AC105" i="24"/>
  <c r="AC129" i="24"/>
  <c r="AC128" i="24"/>
  <c r="AL105" i="24"/>
  <c r="AL128" i="24"/>
  <c r="AK134" i="24" l="1"/>
  <c r="AK133" i="24"/>
  <c r="AK132" i="24"/>
  <c r="AK131" i="24"/>
  <c r="AK130" i="24"/>
  <c r="AK127" i="24"/>
  <c r="AK126" i="24"/>
  <c r="AK125" i="24"/>
  <c r="AK124" i="24"/>
  <c r="AK122" i="24"/>
  <c r="AK121" i="24"/>
  <c r="AK120" i="24"/>
  <c r="AK118" i="24"/>
  <c r="AK117" i="24"/>
  <c r="AK112" i="24"/>
  <c r="AK111" i="24"/>
  <c r="AK109" i="24"/>
  <c r="AK108" i="24"/>
  <c r="AK107" i="24"/>
  <c r="AK106" i="24"/>
  <c r="AK104" i="24"/>
  <c r="AK103" i="24"/>
  <c r="AK102" i="24"/>
  <c r="AK101" i="24"/>
  <c r="AK100" i="24"/>
  <c r="AK99" i="24"/>
  <c r="AK98" i="24"/>
  <c r="AK97" i="24"/>
  <c r="AK96" i="24"/>
  <c r="AK95" i="24"/>
  <c r="AK94" i="24"/>
  <c r="AK93" i="24"/>
  <c r="AK92" i="24"/>
  <c r="AK91" i="24"/>
  <c r="AK90" i="24"/>
  <c r="AK89" i="24"/>
  <c r="AK88" i="24"/>
  <c r="AK87" i="24"/>
  <c r="AK86" i="24"/>
  <c r="AK85" i="24"/>
  <c r="AK84" i="24"/>
  <c r="AK83" i="24"/>
  <c r="AK82" i="24"/>
  <c r="AK81" i="24"/>
  <c r="AK80" i="24"/>
  <c r="AK78" i="24"/>
  <c r="AK77" i="24"/>
  <c r="AK76" i="24"/>
  <c r="AK74" i="24"/>
  <c r="AK73" i="24"/>
  <c r="AK72" i="24"/>
  <c r="AK71" i="24"/>
  <c r="AK70" i="24"/>
  <c r="AK69" i="24"/>
  <c r="AK68" i="24"/>
  <c r="AK67" i="24"/>
  <c r="AK66" i="24"/>
  <c r="AK65" i="24"/>
  <c r="AK64" i="24"/>
  <c r="AK63" i="24"/>
  <c r="AK62" i="24"/>
  <c r="AK61" i="24"/>
  <c r="AK60" i="24"/>
  <c r="AK59" i="24"/>
  <c r="AK58" i="24"/>
  <c r="AK57" i="24"/>
  <c r="AK56" i="24"/>
  <c r="AK55" i="24"/>
  <c r="AK54" i="24"/>
  <c r="AK53" i="24"/>
  <c r="AK52" i="24"/>
  <c r="AK51" i="24"/>
  <c r="AK50" i="24"/>
  <c r="AK49" i="24"/>
  <c r="AK48" i="24"/>
  <c r="AK47" i="24"/>
  <c r="AK46" i="24"/>
  <c r="AK45" i="24"/>
  <c r="AK44" i="24"/>
  <c r="AK43" i="24"/>
  <c r="AK42" i="24"/>
  <c r="AK41" i="24"/>
  <c r="AK40" i="24"/>
  <c r="AK39" i="24"/>
  <c r="AK38" i="24"/>
  <c r="AK37" i="24"/>
  <c r="AG134" i="24"/>
  <c r="AG133" i="24"/>
  <c r="AG132" i="24"/>
  <c r="AG131" i="24"/>
  <c r="AG130" i="24"/>
  <c r="AG127" i="24"/>
  <c r="AG126" i="24"/>
  <c r="AG125" i="24"/>
  <c r="AG124" i="24"/>
  <c r="AG122" i="24"/>
  <c r="AG121" i="24"/>
  <c r="AG120" i="24"/>
  <c r="AG118" i="24"/>
  <c r="AG117" i="24"/>
  <c r="AG112" i="24"/>
  <c r="AG111" i="24"/>
  <c r="AG109" i="24"/>
  <c r="AG108" i="24"/>
  <c r="AG107" i="24"/>
  <c r="AG106" i="24"/>
  <c r="AG104" i="24"/>
  <c r="AG103" i="24"/>
  <c r="AG102" i="24"/>
  <c r="AG101" i="24"/>
  <c r="AG100" i="24"/>
  <c r="AG99" i="24"/>
  <c r="AG98" i="24"/>
  <c r="AG97" i="24"/>
  <c r="AG96" i="24"/>
  <c r="AG95" i="24"/>
  <c r="AG94" i="24"/>
  <c r="AG93" i="24"/>
  <c r="AG92" i="24"/>
  <c r="AG91" i="24"/>
  <c r="AG90" i="24"/>
  <c r="AG89" i="24"/>
  <c r="AG88" i="24"/>
  <c r="AG87" i="24"/>
  <c r="AG86" i="24"/>
  <c r="AG85" i="24"/>
  <c r="AG84" i="24"/>
  <c r="AG83" i="24"/>
  <c r="AG82" i="24"/>
  <c r="AG81" i="24"/>
  <c r="AG80" i="24"/>
  <c r="AG78" i="24"/>
  <c r="AG77" i="24"/>
  <c r="AG76" i="24"/>
  <c r="AG74" i="24"/>
  <c r="AG73" i="24"/>
  <c r="AG72" i="24"/>
  <c r="AG71" i="24"/>
  <c r="AG70" i="24"/>
  <c r="AG69" i="24"/>
  <c r="AG68" i="24"/>
  <c r="AG67" i="24"/>
  <c r="AG66" i="24"/>
  <c r="AG65" i="24"/>
  <c r="AG64" i="24"/>
  <c r="AG63" i="24"/>
  <c r="AG62" i="24"/>
  <c r="AG61" i="24"/>
  <c r="AG60" i="24"/>
  <c r="AG59" i="24"/>
  <c r="AG58" i="24"/>
  <c r="AG57" i="24"/>
  <c r="AG56" i="24"/>
  <c r="AG55" i="24"/>
  <c r="AG54" i="24"/>
  <c r="AG53" i="24"/>
  <c r="AG52" i="24"/>
  <c r="AG51" i="24"/>
  <c r="AG50" i="24"/>
  <c r="AG49" i="24"/>
  <c r="AG48" i="24"/>
  <c r="AG47" i="24"/>
  <c r="AG46" i="24"/>
  <c r="AG45" i="24"/>
  <c r="AG44" i="24"/>
  <c r="AG43" i="24"/>
  <c r="AG42" i="24"/>
  <c r="AG41" i="24"/>
  <c r="AG40" i="24"/>
  <c r="AG39" i="24"/>
  <c r="AG38" i="24"/>
  <c r="AG37" i="24"/>
  <c r="L134" i="24"/>
  <c r="L133" i="24"/>
  <c r="L132" i="24"/>
  <c r="L131" i="24"/>
  <c r="L130" i="24"/>
  <c r="L127" i="24"/>
  <c r="L126" i="24"/>
  <c r="L125" i="24"/>
  <c r="L124" i="24"/>
  <c r="L122" i="24"/>
  <c r="L121" i="24"/>
  <c r="L120" i="24"/>
  <c r="L118" i="24"/>
  <c r="L117" i="24"/>
  <c r="L112" i="24"/>
  <c r="L111" i="24"/>
  <c r="L109" i="24"/>
  <c r="L108" i="24"/>
  <c r="L107" i="24"/>
  <c r="L106" i="24"/>
  <c r="L104" i="24"/>
  <c r="L103" i="24"/>
  <c r="L102" i="24"/>
  <c r="L101" i="24"/>
  <c r="L100" i="24"/>
  <c r="L99" i="24"/>
  <c r="L98" i="24"/>
  <c r="L97" i="24"/>
  <c r="L96" i="24"/>
  <c r="L95" i="24"/>
  <c r="L94" i="24"/>
  <c r="L93" i="24"/>
  <c r="L92" i="24"/>
  <c r="L91" i="24"/>
  <c r="L90" i="24"/>
  <c r="L89" i="24"/>
  <c r="L87" i="24"/>
  <c r="L86" i="24"/>
  <c r="L85" i="24"/>
  <c r="L84" i="24"/>
  <c r="L83" i="24"/>
  <c r="L82" i="24"/>
  <c r="L81" i="24"/>
  <c r="L80" i="24"/>
  <c r="L78" i="24"/>
  <c r="L77" i="24"/>
  <c r="L76" i="24"/>
  <c r="L74" i="24"/>
  <c r="L73" i="24"/>
  <c r="L72" i="24"/>
  <c r="L71" i="24"/>
  <c r="L70" i="24"/>
  <c r="L69" i="24"/>
  <c r="L68" i="24"/>
  <c r="L67" i="24"/>
  <c r="L66" i="24"/>
  <c r="L65" i="24"/>
  <c r="L64" i="24"/>
  <c r="L63" i="24"/>
  <c r="L62" i="24"/>
  <c r="L61" i="24"/>
  <c r="L60" i="24"/>
  <c r="L59" i="24"/>
  <c r="L58" i="24"/>
  <c r="L57" i="24"/>
  <c r="L56" i="24"/>
  <c r="L55" i="24"/>
  <c r="L54" i="24"/>
  <c r="L53" i="24"/>
  <c r="L52" i="24"/>
  <c r="L51" i="24"/>
  <c r="L50" i="24"/>
  <c r="L49" i="24"/>
  <c r="L48" i="24"/>
  <c r="L47" i="24"/>
  <c r="L46" i="24"/>
  <c r="L45" i="24"/>
  <c r="L44" i="24"/>
  <c r="L43" i="24"/>
  <c r="L42" i="24"/>
  <c r="L41" i="24"/>
  <c r="L40" i="24"/>
  <c r="L39" i="24"/>
  <c r="L38" i="24"/>
  <c r="L37" i="24"/>
  <c r="A36" i="24"/>
  <c r="AC131" i="24" l="1"/>
  <c r="AC37" i="24"/>
  <c r="AC44" i="24"/>
  <c r="AC58" i="24"/>
  <c r="AL62" i="24"/>
  <c r="AL70" i="24"/>
  <c r="AL74" i="24"/>
  <c r="AC39" i="24"/>
  <c r="AC43" i="24"/>
  <c r="AC48" i="24"/>
  <c r="AC51" i="24"/>
  <c r="AC55" i="24"/>
  <c r="AC59" i="24"/>
  <c r="AC62" i="24"/>
  <c r="AC66" i="24"/>
  <c r="AC70" i="24"/>
  <c r="AC74" i="24"/>
  <c r="AC80" i="24"/>
  <c r="AC84" i="24"/>
  <c r="AC93" i="24"/>
  <c r="AC96" i="24"/>
  <c r="AC104" i="24"/>
  <c r="AC109" i="24"/>
  <c r="AC117" i="24"/>
  <c r="AC121" i="24"/>
  <c r="AC126" i="24"/>
  <c r="AL38" i="24"/>
  <c r="AC38" i="24"/>
  <c r="AC42" i="24"/>
  <c r="AC47" i="24"/>
  <c r="AC54" i="24"/>
  <c r="AC61" i="24"/>
  <c r="AC65" i="24"/>
  <c r="AC69" i="24"/>
  <c r="AC73" i="24"/>
  <c r="AC78" i="24"/>
  <c r="AC83" i="24"/>
  <c r="AC87" i="24"/>
  <c r="AC92" i="24"/>
  <c r="AC95" i="24"/>
  <c r="AC99" i="24"/>
  <c r="AC101" i="24"/>
  <c r="AC108" i="24"/>
  <c r="AC112" i="24"/>
  <c r="AC120" i="24"/>
  <c r="AC125" i="24"/>
  <c r="AC130" i="24"/>
  <c r="AC134" i="24"/>
  <c r="AL118" i="24"/>
  <c r="AL133" i="24"/>
  <c r="AC41" i="24"/>
  <c r="AC46" i="24"/>
  <c r="AC50" i="24"/>
  <c r="AC53" i="24"/>
  <c r="AC57" i="24"/>
  <c r="AC64" i="24"/>
  <c r="AC68" i="24"/>
  <c r="AC72" i="24"/>
  <c r="AC77" i="24"/>
  <c r="AC82" i="24"/>
  <c r="AC86" i="24"/>
  <c r="AC89" i="24"/>
  <c r="AC91" i="24"/>
  <c r="AC98" i="24"/>
  <c r="AC100" i="24"/>
  <c r="AC103" i="24"/>
  <c r="AC107" i="24"/>
  <c r="AC111" i="24"/>
  <c r="AC118" i="24"/>
  <c r="AC124" i="24"/>
  <c r="AC127" i="24"/>
  <c r="AC133" i="24"/>
  <c r="AL122" i="24"/>
  <c r="AC40" i="24"/>
  <c r="AC45" i="24"/>
  <c r="AC49" i="24"/>
  <c r="AC52" i="24"/>
  <c r="AC56" i="24"/>
  <c r="AC60" i="24"/>
  <c r="AC63" i="24"/>
  <c r="AC67" i="24"/>
  <c r="AC71" i="24"/>
  <c r="AC76" i="24"/>
  <c r="AC81" i="24"/>
  <c r="AC85" i="24"/>
  <c r="AC88" i="24"/>
  <c r="AC90" i="24"/>
  <c r="AC94" i="24"/>
  <c r="AC97" i="24"/>
  <c r="AC102" i="24"/>
  <c r="AC106" i="24"/>
  <c r="AC122" i="24"/>
  <c r="AC132" i="24"/>
  <c r="AL66" i="24"/>
  <c r="AL80" i="24"/>
  <c r="AL93" i="24"/>
  <c r="AL96" i="24"/>
  <c r="AL104" i="24"/>
  <c r="AL117" i="24"/>
  <c r="AL121" i="24"/>
  <c r="AL126" i="24"/>
  <c r="AL131" i="24"/>
  <c r="AL69" i="24"/>
  <c r="AL73" i="24"/>
  <c r="AL78" i="24"/>
  <c r="AL83" i="24"/>
  <c r="AL87" i="24"/>
  <c r="AL92" i="24"/>
  <c r="AL95" i="24"/>
  <c r="AL99" i="24"/>
  <c r="AL101" i="24"/>
  <c r="AL108" i="24"/>
  <c r="AL112" i="24"/>
  <c r="AL125" i="24"/>
  <c r="AL130" i="24"/>
  <c r="AL134" i="24"/>
  <c r="AL68" i="24"/>
  <c r="AL72" i="24"/>
  <c r="AL77" i="24"/>
  <c r="AL82" i="24"/>
  <c r="AL86" i="24"/>
  <c r="AL89" i="24"/>
  <c r="AL91" i="24"/>
  <c r="AL98" i="24"/>
  <c r="AL100" i="24"/>
  <c r="AL103" i="24"/>
  <c r="AL107" i="24"/>
  <c r="AL111" i="24"/>
  <c r="AL124" i="24"/>
  <c r="AL127" i="24"/>
  <c r="AL67" i="24"/>
  <c r="AL71" i="24"/>
  <c r="AL88" i="24"/>
  <c r="AL90" i="24"/>
  <c r="AL94" i="24"/>
  <c r="AL97" i="24"/>
  <c r="AL102" i="24"/>
  <c r="AL132" i="24"/>
  <c r="AL42" i="24"/>
  <c r="AL47" i="24"/>
  <c r="AL54" i="24"/>
  <c r="AL58" i="24"/>
  <c r="AL61" i="24"/>
  <c r="AL65" i="24"/>
  <c r="AL37" i="24"/>
  <c r="AL41" i="24"/>
  <c r="AL46" i="24"/>
  <c r="AL50" i="24"/>
  <c r="AL53" i="24"/>
  <c r="AL57" i="24"/>
  <c r="AL64" i="24"/>
  <c r="AL40" i="24"/>
  <c r="AL44" i="24"/>
  <c r="AL45" i="24"/>
  <c r="AL49" i="24"/>
  <c r="AL52" i="24"/>
  <c r="AL56" i="24"/>
  <c r="AL60" i="24"/>
  <c r="AL63" i="24"/>
  <c r="AL39" i="24"/>
  <c r="AL43" i="24"/>
  <c r="AL48" i="24"/>
  <c r="AL51" i="24"/>
  <c r="AL55" i="24"/>
  <c r="AL59" i="24"/>
  <c r="AL120" i="24"/>
  <c r="AL76" i="24"/>
  <c r="AL81" i="24"/>
  <c r="AL85" i="24"/>
  <c r="AL84" i="24"/>
  <c r="AL109" i="24"/>
  <c r="AL106" i="24"/>
  <c r="A64" i="24"/>
  <c r="A106" i="24"/>
  <c r="A59" i="24"/>
  <c r="A53" i="24"/>
  <c r="A62" i="24"/>
  <c r="A55" i="24"/>
  <c r="A68" i="24"/>
  <c r="A65" i="24"/>
  <c r="A50" i="24"/>
  <c r="A45" i="24"/>
  <c r="A44" i="24"/>
  <c r="A38" i="24" l="1"/>
  <c r="A42" i="24"/>
  <c r="A71" i="24"/>
  <c r="A76" i="24"/>
  <c r="A81" i="24"/>
  <c r="A85" i="24"/>
  <c r="A88" i="24"/>
  <c r="A90" i="24"/>
  <c r="A92" i="24"/>
  <c r="A95" i="24"/>
  <c r="A99" i="24"/>
  <c r="A101" i="24"/>
  <c r="A109" i="24"/>
  <c r="A113" i="24"/>
  <c r="A117" i="24"/>
  <c r="A121" i="24"/>
  <c r="A126" i="24"/>
  <c r="A131" i="24"/>
  <c r="A47" i="24"/>
  <c r="A51" i="24"/>
  <c r="A57" i="24"/>
  <c r="A61" i="24"/>
  <c r="A69" i="24"/>
  <c r="A96" i="24"/>
  <c r="A104" i="24"/>
  <c r="A114" i="24"/>
  <c r="A122" i="24"/>
  <c r="A132" i="24"/>
  <c r="A48" i="24"/>
  <c r="A94" i="24"/>
  <c r="A118" i="24"/>
  <c r="A127" i="24"/>
  <c r="A39" i="24"/>
  <c r="A43" i="24"/>
  <c r="A49" i="24"/>
  <c r="A54" i="24"/>
  <c r="A60" i="24"/>
  <c r="A66" i="24"/>
  <c r="A72" i="24"/>
  <c r="A52" i="24"/>
  <c r="A58" i="24"/>
  <c r="A63" i="24"/>
  <c r="A107" i="24"/>
  <c r="A133" i="24"/>
  <c r="A98" i="24"/>
  <c r="A100" i="24"/>
  <c r="A103" i="24"/>
  <c r="A108" i="24"/>
  <c r="A112" i="24"/>
  <c r="A116" i="24"/>
  <c r="A120" i="24"/>
  <c r="A125" i="24"/>
  <c r="A130" i="24"/>
  <c r="A134" i="24"/>
  <c r="A97" i="24"/>
  <c r="A102" i="24"/>
  <c r="A111" i="24"/>
  <c r="A115" i="24"/>
  <c r="A124" i="24"/>
  <c r="A46" i="24"/>
  <c r="A56" i="24"/>
  <c r="A67" i="24"/>
  <c r="A77" i="24"/>
  <c r="A37" i="24"/>
  <c r="A41" i="24"/>
  <c r="A70" i="24"/>
  <c r="A74" i="24"/>
  <c r="A80" i="24"/>
  <c r="A84" i="24"/>
  <c r="A93" i="24"/>
  <c r="A82" i="24"/>
  <c r="A86" i="24"/>
  <c r="A89" i="24"/>
  <c r="A40" i="24"/>
  <c r="A73" i="24"/>
  <c r="A78" i="24"/>
  <c r="A83" i="24"/>
  <c r="A87" i="24"/>
  <c r="A91" i="24"/>
</calcChain>
</file>

<file path=xl/sharedStrings.xml><?xml version="1.0" encoding="utf-8"?>
<sst xmlns="http://schemas.openxmlformats.org/spreadsheetml/2006/main" count="764" uniqueCount="323">
  <si>
    <t>Pg #</t>
  </si>
  <si>
    <t>Location</t>
  </si>
  <si>
    <t>WILMAPCO CATEGORY</t>
  </si>
  <si>
    <t>MODE</t>
  </si>
  <si>
    <t>FY 2014 STATE SPEND</t>
  </si>
  <si>
    <t>FY 2014 OTHER SPEND</t>
  </si>
  <si>
    <t>FY 2014 FEDERAL SPEND</t>
  </si>
  <si>
    <t>FY 2014 TOTAL</t>
  </si>
  <si>
    <t>FY 2015 STATE SPEND</t>
  </si>
  <si>
    <t>FY 2015 OTHER SPEND</t>
  </si>
  <si>
    <t>FY 2015 FEDERAL SPEND</t>
  </si>
  <si>
    <t>FY 2015 TOTAL</t>
  </si>
  <si>
    <t>TOTAL                 FY 2012-15</t>
  </si>
  <si>
    <t>FY 2016 STATE SPEND</t>
  </si>
  <si>
    <t>FY 2016 OTHER SPEND</t>
  </si>
  <si>
    <t>FY 2016 FEDERAL SPEND</t>
  </si>
  <si>
    <t>FY 2016 TOTAL</t>
  </si>
  <si>
    <t>FY 2017 STATE SPEND</t>
  </si>
  <si>
    <t>FY 2017 OTHER SPEND</t>
  </si>
  <si>
    <t>FY 2017 FEDERAL SPEND</t>
  </si>
  <si>
    <t>FY 2017 TOTAL</t>
  </si>
  <si>
    <t>z</t>
  </si>
  <si>
    <t>DELAWARE- STATEWIDE</t>
  </si>
  <si>
    <t>1-13</t>
  </si>
  <si>
    <t>DE</t>
  </si>
  <si>
    <t>Road</t>
  </si>
  <si>
    <t>Management</t>
  </si>
  <si>
    <t>1-14</t>
  </si>
  <si>
    <t>Aeronautics, Statewide</t>
  </si>
  <si>
    <t>Other</t>
  </si>
  <si>
    <t>1-15</t>
  </si>
  <si>
    <t>1-2</t>
  </si>
  <si>
    <t>Bridge Preservation Program</t>
  </si>
  <si>
    <t>Preservation</t>
  </si>
  <si>
    <t>1- 3</t>
  </si>
  <si>
    <t>Community Transportation Fund</t>
  </si>
  <si>
    <t>Multimodal</t>
  </si>
  <si>
    <t>1-26</t>
  </si>
  <si>
    <t>Transit</t>
  </si>
  <si>
    <t>Expansion</t>
  </si>
  <si>
    <t>1-27</t>
  </si>
  <si>
    <t>Environmental Program</t>
  </si>
  <si>
    <t>1-4</t>
  </si>
  <si>
    <t>Equipment</t>
  </si>
  <si>
    <t>1-16</t>
  </si>
  <si>
    <t>Intersection Improvements</t>
  </si>
  <si>
    <t>1-5</t>
  </si>
  <si>
    <t>Materials &amp; Minor Contracts</t>
  </si>
  <si>
    <t>1-6</t>
  </si>
  <si>
    <t>Municipal Street Aid</t>
  </si>
  <si>
    <t>1-7</t>
  </si>
  <si>
    <t>Paving &amp; Rehabilitation</t>
  </si>
  <si>
    <t>1-28</t>
  </si>
  <si>
    <t>Planning</t>
  </si>
  <si>
    <t>1-17</t>
  </si>
  <si>
    <t>1-18</t>
  </si>
  <si>
    <t>Recreational Trails</t>
  </si>
  <si>
    <t>Bike/Pedestrian</t>
  </si>
  <si>
    <t>1-19</t>
  </si>
  <si>
    <t>1-20</t>
  </si>
  <si>
    <t>1-8</t>
  </si>
  <si>
    <t>1-21</t>
  </si>
  <si>
    <t>Technology</t>
  </si>
  <si>
    <t>1-22</t>
  </si>
  <si>
    <t>Traffic Calming</t>
  </si>
  <si>
    <t>1-9</t>
  </si>
  <si>
    <t>Transit Facilities, Statewide</t>
  </si>
  <si>
    <t>1-12</t>
  </si>
  <si>
    <t>Transit Vehicles Replace &amp; Refurbish, Statewide</t>
  </si>
  <si>
    <t>1-23</t>
  </si>
  <si>
    <t>Transportation Enhancements</t>
  </si>
  <si>
    <t>1-11</t>
  </si>
  <si>
    <t>Transportation Facilities, Statewide</t>
  </si>
  <si>
    <t>1-24</t>
  </si>
  <si>
    <t>NEW CASTLE COUNTY</t>
  </si>
  <si>
    <t>NCC</t>
  </si>
  <si>
    <t>Boyds Corner Rd: Cedar Lane to US 13 (S. NCC Imp)</t>
  </si>
  <si>
    <t>2-7</t>
  </si>
  <si>
    <t xml:space="preserve">BR 110 on N239, Pyles Ford Road </t>
  </si>
  <si>
    <t>2-8</t>
  </si>
  <si>
    <t>BR 159 on James Street over Christina River</t>
  </si>
  <si>
    <t>2-9</t>
  </si>
  <si>
    <t>2-11</t>
  </si>
  <si>
    <t>2-12</t>
  </si>
  <si>
    <t>BR 366 on N399 Chesapeake City Road over Guthrie Run</t>
  </si>
  <si>
    <t>2-15</t>
  </si>
  <si>
    <t>BR 444 on Old Corbitt Road, East of Odessa</t>
  </si>
  <si>
    <t>2-16</t>
  </si>
  <si>
    <t>BR 501 on SR 141 Viaduct over SR 4</t>
  </si>
  <si>
    <t>2-18</t>
  </si>
  <si>
    <t>BR 585 on N049 Augustine Cutoff over Brandywine Creek</t>
  </si>
  <si>
    <t>2-19</t>
  </si>
  <si>
    <t>2-27</t>
  </si>
  <si>
    <t>BR 665N &amp; 1-665S on US 13 over Abandon Railroad, Farnhurst</t>
  </si>
  <si>
    <t>2-21</t>
  </si>
  <si>
    <t>BR 687, 688, 693 Wilmington Drawbridge</t>
  </si>
  <si>
    <t>2-22</t>
  </si>
  <si>
    <t>C&amp;D Canal Trail</t>
  </si>
  <si>
    <t>2-59</t>
  </si>
  <si>
    <t>Christina River Crossing</t>
  </si>
  <si>
    <t>Churchman's Crossing Program</t>
  </si>
  <si>
    <t>2-39</t>
  </si>
  <si>
    <t>Claymont Station</t>
  </si>
  <si>
    <t>2-31</t>
  </si>
  <si>
    <t>2-52</t>
  </si>
  <si>
    <t>Elkton Road: Casho Mill Rd to Delaware Ave</t>
  </si>
  <si>
    <t>Fairplay Station (Churchmans Xing) Elevator</t>
  </si>
  <si>
    <t>2-26</t>
  </si>
  <si>
    <t>2-42</t>
  </si>
  <si>
    <t>Grubb Rd: Foulk Rd to SR 92, Pedestrian Imp.</t>
  </si>
  <si>
    <t>2-43</t>
  </si>
  <si>
    <t>Highway Safety Improvement Program, NCC</t>
  </si>
  <si>
    <t>I-295 Improvements, Westbound from I-295  to US 13</t>
  </si>
  <si>
    <t xml:space="preserve">I-95 &amp; US 202 Interchange </t>
  </si>
  <si>
    <t>2-63</t>
  </si>
  <si>
    <t>2-29</t>
  </si>
  <si>
    <t>Jamison Corner Rd Relocated to Boyds Corner Rd</t>
  </si>
  <si>
    <t>2-44</t>
  </si>
  <si>
    <t>Mid County DMV</t>
  </si>
  <si>
    <t>N412A: Hyetts Corner Rd to Lorewood Grove Rd</t>
  </si>
  <si>
    <t>2-68</t>
  </si>
  <si>
    <t>2-66</t>
  </si>
  <si>
    <t>New Castle Co. Industrial Track Greenway, Phase III</t>
  </si>
  <si>
    <t>Pomeroy Trail</t>
  </si>
  <si>
    <t>2-45</t>
  </si>
  <si>
    <t>2-46</t>
  </si>
  <si>
    <t>Possum Park Rd and Old Possum Park Rd Intersection</t>
  </si>
  <si>
    <t>2-33</t>
  </si>
  <si>
    <t>2-24</t>
  </si>
  <si>
    <t>Pyles Ford Rd, Culvert Replacements</t>
  </si>
  <si>
    <t>2-53</t>
  </si>
  <si>
    <t xml:space="preserve">SR 1/I-95 Interchange </t>
  </si>
  <si>
    <t>2-71</t>
  </si>
  <si>
    <t>SR 1: Tybouts Corner to SR 273</t>
  </si>
  <si>
    <t>2-51</t>
  </si>
  <si>
    <t>SR 141/I-95 Interchange</t>
  </si>
  <si>
    <t>2-1</t>
  </si>
  <si>
    <t>2-72</t>
  </si>
  <si>
    <t>SR 7: Newtown Road to SR 273</t>
  </si>
  <si>
    <t>2-54</t>
  </si>
  <si>
    <t>SR 72: McCoy Road to SR 71</t>
  </si>
  <si>
    <t>2-30</t>
  </si>
  <si>
    <t>SR 9, New Castle Ave: 3rd Street to Heald Street</t>
  </si>
  <si>
    <t>SR 9, River Road Flood Remediation</t>
  </si>
  <si>
    <t>2-73</t>
  </si>
  <si>
    <t xml:space="preserve">Transit (Fixed Route) Vehicle Expansion, NCC </t>
  </si>
  <si>
    <t xml:space="preserve">Transit (Paratransit) Vehicle Expansion, NCC </t>
  </si>
  <si>
    <t>2-74</t>
  </si>
  <si>
    <t>US 301: Maryland Line to SR 1</t>
  </si>
  <si>
    <t>2-57</t>
  </si>
  <si>
    <t>US 40 Program Management</t>
  </si>
  <si>
    <t>US 40, Pulaski Hwy and SR 72, Wrangle Hill Rd Intersection</t>
  </si>
  <si>
    <t>Washington Street, New Castle</t>
  </si>
  <si>
    <t>2-78</t>
  </si>
  <si>
    <t xml:space="preserve">Westown, Wiggins Mill Rd: Green Giant to St Annes </t>
  </si>
  <si>
    <t>2-61</t>
  </si>
  <si>
    <t xml:space="preserve">Wilmington Signal Improvements, Phase II </t>
  </si>
  <si>
    <t>2-80</t>
  </si>
  <si>
    <t>Wilmington Transit Hub</t>
  </si>
  <si>
    <t>CECIL COUNTY</t>
  </si>
  <si>
    <t>3-2</t>
  </si>
  <si>
    <t>CC</t>
  </si>
  <si>
    <t>Areawide Bridge Replacement and Rehabilitation</t>
  </si>
  <si>
    <t>3-13</t>
  </si>
  <si>
    <t>Areawide Congestion Management</t>
  </si>
  <si>
    <t>3-3</t>
  </si>
  <si>
    <t>Areawide Environmental Projects</t>
  </si>
  <si>
    <t>3-4</t>
  </si>
  <si>
    <t xml:space="preserve">Areawide Resurfacing and Rehabilitation </t>
  </si>
  <si>
    <t>3-5</t>
  </si>
  <si>
    <t>Areawide Safety and Spot Improvements</t>
  </si>
  <si>
    <t>3-6</t>
  </si>
  <si>
    <t>Areawide Urban Street Reconstruction</t>
  </si>
  <si>
    <t>3-7</t>
  </si>
  <si>
    <t>3-11</t>
  </si>
  <si>
    <t xml:space="preserve">Small Urban Transit - Capital Assistance </t>
  </si>
  <si>
    <t>3-12</t>
  </si>
  <si>
    <t>Small Urban Transit - Operating Assistance</t>
  </si>
  <si>
    <t>Delaware Statewide Subtotal</t>
  </si>
  <si>
    <t>New Castle County Subtotal</t>
  </si>
  <si>
    <t>Cecil County Subtotal</t>
  </si>
  <si>
    <t>TOTAL</t>
  </si>
  <si>
    <t>Funding Increase</t>
  </si>
  <si>
    <t>Funding Decrease</t>
  </si>
  <si>
    <t>Glenville Wetland Bank &amp; Subdivision Improvements</t>
  </si>
  <si>
    <t>Interstate Maintenance</t>
  </si>
  <si>
    <t>SR 2, S Union Street: Railroad Bridge to Sycamore St</t>
  </si>
  <si>
    <t>City of New Castle Improvements (SR9/3rd, SR9/6th, SR 9/Harmony)</t>
  </si>
  <si>
    <t>BR 032 on Foulk Road over S. Branch Naamans Creek</t>
  </si>
  <si>
    <t>BR 112 on Yorklyn Rd over Red Clay Creek</t>
  </si>
  <si>
    <t>BR 274 on Wedgewood Rd over E. Branch Christina Creek</t>
  </si>
  <si>
    <t>BR 543 on Carr Road over Shellpot Creek</t>
  </si>
  <si>
    <t>BR 826 Rehabilitation</t>
  </si>
  <si>
    <t>Garasches Lane</t>
  </si>
  <si>
    <t>Beech Street Generator</t>
  </si>
  <si>
    <t>Christiana Mall Park and Ride</t>
  </si>
  <si>
    <t>Boyds Corner Park and Ride</t>
  </si>
  <si>
    <t>Fairplay Station (Churchmans Xing) Parking</t>
  </si>
  <si>
    <t>DTC Mid County Operations Facility Paving</t>
  </si>
  <si>
    <t>Performance Contract</t>
  </si>
  <si>
    <t>Third Rail Track Expansion (NE Corridor Imp., Orange St BR)</t>
  </si>
  <si>
    <t>Newark Train Station/Regional Transportation Center</t>
  </si>
  <si>
    <t>Bicycle and Pedestrian Improvements</t>
  </si>
  <si>
    <t xml:space="preserve">Signage &amp; Pavement Markings </t>
  </si>
  <si>
    <t>Engineering &amp; Contingency/Education &amp; Training</t>
  </si>
  <si>
    <t>Transportation Management (inc. rideshare and signals)</t>
  </si>
  <si>
    <t>New project</t>
  </si>
  <si>
    <t>Prior amendment</t>
  </si>
  <si>
    <t>Rail Crossing Safety and Rideability</t>
  </si>
  <si>
    <t>Talley Rd: East Coast Greenway/Northern DE Greenway</t>
  </si>
  <si>
    <t>BR 567 on Hay Rd over Shellpot Creek</t>
  </si>
  <si>
    <t>Road A and Centre Blvd: Fashion Center Entrance</t>
  </si>
  <si>
    <t>New project proposed after public comment period</t>
  </si>
  <si>
    <t>FY 2018 STATE SPEND</t>
  </si>
  <si>
    <t>FY 2018 OTHER SPEND</t>
  </si>
  <si>
    <t>FY 2018 FEDERAL SPEND</t>
  </si>
  <si>
    <t>FY 2018 TOTAL</t>
  </si>
  <si>
    <t>FY 2019 STATE SPEND</t>
  </si>
  <si>
    <t>FY 2019 OTHER SPEND</t>
  </si>
  <si>
    <t>FY 2019 FEDERAL SPEND</t>
  </si>
  <si>
    <t>FY 2019 TOTAL</t>
  </si>
  <si>
    <t>BR 229 on SR 2 over White Clay Creek</t>
  </si>
  <si>
    <t>BR 393 on SR 299 over Appoquinimink River</t>
  </si>
  <si>
    <t>Bridge Structure Rehabilitation</t>
  </si>
  <si>
    <t>Cedar Lane: Marl Pit to Boyds Corner Rd (S. NCC Imp)</t>
  </si>
  <si>
    <t>Road A/SR 7 (Road, Bridge and Mall Connector Study)</t>
  </si>
  <si>
    <t>SR 141 and Commons Blvd. Intersection Improvements</t>
  </si>
  <si>
    <t>Transit (Fixed Route) Vehicle Replacement and Refurbishment, NCC</t>
  </si>
  <si>
    <t>Transit (Paratransit) Vehicle Replacement and Refurbishment, NCC</t>
  </si>
  <si>
    <t>Transit Preventive Maintenance, NCC</t>
  </si>
  <si>
    <t>US 40 and SR 896 Grade Separated Intersection</t>
  </si>
  <si>
    <t>Wilmington Riverfront Program (AAA Garage)</t>
  </si>
  <si>
    <t>Wilmington UST Replacement - State of Good Repair</t>
  </si>
  <si>
    <t>MD 272 Bridge over Amtrak</t>
  </si>
  <si>
    <t>Cecil County Bridge Preservation (CE-0097 Baron Rd)</t>
  </si>
  <si>
    <t>Safety Improvements (Hazard Elimination/High Risk Rural Rd.)</t>
  </si>
  <si>
    <t>BR 254 Old Newark Rd over Cool Run</t>
  </si>
  <si>
    <t>Rail Cars ARRA</t>
  </si>
  <si>
    <t>Cavaliers Mitigation</t>
  </si>
  <si>
    <t>BR 191 on Milltown Rd over Mill Creek</t>
  </si>
  <si>
    <t>BR 227 on Paper Mill Rd over Middle Run Tributary</t>
  </si>
  <si>
    <t>BR 488 on US 13 SB, South of Odessa</t>
  </si>
  <si>
    <t>BR 577 on Northeast Blvd over Brandywine River</t>
  </si>
  <si>
    <t>BR 680 on SR 141 over US 13</t>
  </si>
  <si>
    <t>BR 748, I-95 Wilmington Viaduct</t>
  </si>
  <si>
    <t>BR 814 on 12th Street over NS RR</t>
  </si>
  <si>
    <t>Wilmington Ops. Ctr/Admin Bldg / Master Plan</t>
  </si>
  <si>
    <t>Downstate (Delmarva) Intercity Rail Study ARRA</t>
  </si>
  <si>
    <t>Statewide Rail Preservation</t>
  </si>
  <si>
    <t>SR 4, Christina Parkway:  SR2 to SR 896</t>
  </si>
  <si>
    <t>BR 438, Blackbird Station over Blackbird Creek</t>
  </si>
  <si>
    <t>BR 291, Songsmith Dr over Tributary to Smalley's Pond</t>
  </si>
  <si>
    <t>BR 239, Red Mill Rd. over Tributary to White Clay Creek</t>
  </si>
  <si>
    <t>Jobs Access and Reverse Commute (JARC) Transit Operating Assistance</t>
  </si>
  <si>
    <t>New Freedom Transit Operating Assistance</t>
  </si>
  <si>
    <t>1-10</t>
  </si>
  <si>
    <t>2-2</t>
  </si>
  <si>
    <t>2-3</t>
  </si>
  <si>
    <t>2-4</t>
  </si>
  <si>
    <t>2-5</t>
  </si>
  <si>
    <t>2-6</t>
  </si>
  <si>
    <t>2-10</t>
  </si>
  <si>
    <t>2-13</t>
  </si>
  <si>
    <t>2-14</t>
  </si>
  <si>
    <t>2-17</t>
  </si>
  <si>
    <t>2-20</t>
  </si>
  <si>
    <t>Tyler McConnell Bridge, SR 141: Montchanin to Alapocas</t>
  </si>
  <si>
    <t>TOTAL                                         FY 2015-18</t>
  </si>
  <si>
    <t>FY 2020 STATE SPEND</t>
  </si>
  <si>
    <t>FY 2020 OTHER SPEND</t>
  </si>
  <si>
    <t>FY 2020 FEDERAL SPEND</t>
  </si>
  <si>
    <t>FY 2020 TOTAL</t>
  </si>
  <si>
    <t>OUTYEARS TOTAL                 FY2019-20</t>
  </si>
  <si>
    <t>SR 299, SR 1 to Catherine Street</t>
  </si>
  <si>
    <t>Wilmington Initiatives: Walnut St., MLK to 16th St</t>
  </si>
  <si>
    <t>US 13, Duck Creek to SR 1</t>
  </si>
  <si>
    <t>n/a</t>
  </si>
  <si>
    <t>Wilmington Initiatives: 4th St., Walnut St. to I-95</t>
  </si>
  <si>
    <t>Dam Preservation Program</t>
  </si>
  <si>
    <t>MARC Maintenance Facility</t>
  </si>
  <si>
    <t>Susquehanna River Rail Bridge</t>
  </si>
  <si>
    <t>Funding Increase vs. September FY 2014-17 TIP</t>
  </si>
  <si>
    <t>Funding Decrease vs. September FY 2014-17 TIP</t>
  </si>
  <si>
    <t>line #</t>
  </si>
  <si>
    <t>Elkton Road: Maryland State Line to Casho Mill Rd</t>
  </si>
  <si>
    <t>US 40 Corridor Intermodal Study</t>
  </si>
  <si>
    <t>Chesapeake &amp; Delaware (C&amp;D) Canal  Trail - Maryland</t>
  </si>
  <si>
    <t>Transportation Enhancements/Alternatives Program - Cecil County</t>
  </si>
  <si>
    <r>
      <t>Bridge Management/Inspection/</t>
    </r>
    <r>
      <rPr>
        <sz val="9"/>
        <color rgb="FFFF0000"/>
        <rFont val="Calibri"/>
        <family val="2"/>
        <scheme val="minor"/>
      </rPr>
      <t xml:space="preserve"> </t>
    </r>
    <r>
      <rPr>
        <b/>
        <sz val="9"/>
        <color theme="8" tint="-0.499984740745262"/>
        <rFont val="Calibri"/>
        <family val="2"/>
        <scheme val="minor"/>
      </rPr>
      <t>Design Training</t>
    </r>
    <r>
      <rPr>
        <sz val="9"/>
        <color theme="1"/>
        <rFont val="Calibri"/>
        <family val="2"/>
        <scheme val="minor"/>
      </rPr>
      <t xml:space="preserve"> Programs</t>
    </r>
  </si>
  <si>
    <t xml:space="preserve">US 13, Philadelphia Pike: Claymont Plan Implementation </t>
  </si>
  <si>
    <t>Claymont Sidewalks: Manor and Myrtle Aves</t>
  </si>
  <si>
    <r>
      <t xml:space="preserve">PROJECT TITLE                    </t>
    </r>
    <r>
      <rPr>
        <i/>
        <sz val="9"/>
        <rFont val="Calibri"/>
        <family val="2"/>
        <scheme val="minor"/>
      </rPr>
      <t>(All $ x 1,000)</t>
    </r>
  </si>
  <si>
    <t>2-23</t>
  </si>
  <si>
    <t>2-25</t>
  </si>
  <si>
    <t>2-38</t>
  </si>
  <si>
    <t>3-9</t>
  </si>
  <si>
    <t>3-8</t>
  </si>
  <si>
    <t>3-14</t>
  </si>
  <si>
    <t>2-40</t>
  </si>
  <si>
    <t>2-86</t>
  </si>
  <si>
    <t>2-69</t>
  </si>
  <si>
    <t>2-75</t>
  </si>
  <si>
    <t>2-85</t>
  </si>
  <si>
    <t>3-16</t>
  </si>
  <si>
    <t>2-83</t>
  </si>
  <si>
    <t>2-62</t>
  </si>
  <si>
    <t>2-82</t>
  </si>
  <si>
    <t>2-47</t>
  </si>
  <si>
    <t>2-32</t>
  </si>
  <si>
    <t>2-79</t>
  </si>
  <si>
    <t>2-60</t>
  </si>
  <si>
    <t>2-58</t>
  </si>
  <si>
    <t>2-81</t>
  </si>
  <si>
    <t>2-28</t>
  </si>
  <si>
    <t>2-34</t>
  </si>
  <si>
    <t>2-56</t>
  </si>
  <si>
    <t>3-17</t>
  </si>
  <si>
    <t>3-15</t>
  </si>
  <si>
    <t>3-10</t>
  </si>
  <si>
    <t>2-64</t>
  </si>
  <si>
    <t>2-36</t>
  </si>
  <si>
    <t>2-70</t>
  </si>
  <si>
    <t>FY 2015-18 TIP, March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</si>
</sst>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_);_(@_)"/>
  </numFmts>
  <fonts count="1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8" tint="-0.499984740745262"/>
      <name val="Calibri"/>
      <family val="2"/>
      <scheme val="minor"/>
    </font>
    <font>
      <strike/>
      <sz val="9"/>
      <name val="Calibri"/>
      <family val="2"/>
      <scheme val="minor"/>
    </font>
    <font>
      <b/>
      <sz val="9"/>
      <color indexed="50"/>
      <name val="Calibri"/>
      <family val="2"/>
      <scheme val="minor"/>
    </font>
    <font>
      <sz val="9"/>
      <color rgb="FFFFFFCC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92CDDC"/>
        <bgColor indexed="64"/>
      </patternFill>
    </fill>
  </fills>
  <borders count="4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medium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ck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 style="thin">
        <color theme="0" tint="-0.34998626667073579"/>
      </top>
      <bottom/>
      <diagonal/>
    </border>
    <border>
      <left style="thick">
        <color auto="1"/>
      </left>
      <right style="thick">
        <color auto="1"/>
      </right>
      <top style="thin">
        <color theme="0" tint="-0.34998626667073579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theme="0" tint="-0.34998626667073579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219">
    <xf numFmtId="0" fontId="0" fillId="0" borderId="0" xfId="0"/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4" fontId="3" fillId="6" borderId="25" xfId="0" applyNumberFormat="1" applyFont="1" applyFill="1" applyBorder="1" applyAlignment="1">
      <alignment horizontal="left" vertical="center"/>
    </xf>
    <xf numFmtId="164" fontId="3" fillId="6" borderId="27" xfId="0" applyNumberFormat="1" applyFont="1" applyFill="1" applyBorder="1" applyAlignment="1">
      <alignment horizontal="left" vertical="center"/>
    </xf>
    <xf numFmtId="0" fontId="3" fillId="6" borderId="27" xfId="0" applyFont="1" applyFill="1" applyBorder="1" applyAlignment="1">
      <alignment vertical="center"/>
    </xf>
    <xf numFmtId="0" fontId="3" fillId="6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textRotation="90" wrapText="1"/>
    </xf>
    <xf numFmtId="164" fontId="3" fillId="3" borderId="1" xfId="0" applyNumberFormat="1" applyFont="1" applyFill="1" applyBorder="1" applyAlignment="1">
      <alignment horizontal="center" vertical="center" textRotation="90" wrapText="1"/>
    </xf>
    <xf numFmtId="164" fontId="3" fillId="3" borderId="5" xfId="0" applyNumberFormat="1" applyFont="1" applyFill="1" applyBorder="1" applyAlignment="1">
      <alignment horizontal="center" vertical="center" textRotation="90" wrapText="1"/>
    </xf>
    <xf numFmtId="164" fontId="3" fillId="3" borderId="1" xfId="0" applyNumberFormat="1" applyFont="1" applyFill="1" applyBorder="1" applyAlignment="1">
      <alignment vertical="center"/>
    </xf>
    <xf numFmtId="164" fontId="3" fillId="11" borderId="18" xfId="0" applyNumberFormat="1" applyFont="1" applyFill="1" applyBorder="1" applyAlignment="1">
      <alignment horizontal="center" vertical="center" textRotation="90" wrapText="1"/>
    </xf>
    <xf numFmtId="0" fontId="4" fillId="3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165" fontId="4" fillId="11" borderId="0" xfId="1" applyNumberFormat="1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65" fontId="4" fillId="11" borderId="0" xfId="0" applyNumberFormat="1" applyFont="1" applyFill="1" applyBorder="1" applyAlignment="1">
      <alignment vertical="center" shrinkToFit="1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12" borderId="1" xfId="0" applyFont="1" applyFill="1" applyBorder="1" applyAlignment="1">
      <alignment horizontal="left" vertical="center"/>
    </xf>
    <xf numFmtId="165" fontId="4" fillId="11" borderId="0" xfId="0" applyNumberFormat="1" applyFont="1" applyFill="1" applyBorder="1" applyAlignment="1">
      <alignment vertical="center"/>
    </xf>
    <xf numFmtId="165" fontId="4" fillId="11" borderId="0" xfId="0" applyNumberFormat="1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165" fontId="4" fillId="11" borderId="11" xfId="1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165" fontId="4" fillId="11" borderId="20" xfId="1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3" fillId="6" borderId="0" xfId="0" applyNumberFormat="1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164" fontId="3" fillId="6" borderId="0" xfId="0" applyNumberFormat="1" applyFont="1" applyFill="1" applyBorder="1" applyAlignment="1">
      <alignment horizontal="left"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11" fillId="7" borderId="25" xfId="0" applyNumberFormat="1" applyFont="1" applyFill="1" applyBorder="1" applyAlignment="1">
      <alignment horizontal="center" vertical="center"/>
    </xf>
    <xf numFmtId="49" fontId="11" fillId="7" borderId="22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left" vertical="center"/>
    </xf>
    <xf numFmtId="49" fontId="11" fillId="6" borderId="22" xfId="0" applyNumberFormat="1" applyFont="1" applyFill="1" applyBorder="1" applyAlignment="1">
      <alignment horizontal="center" vertical="center"/>
    </xf>
    <xf numFmtId="164" fontId="3" fillId="6" borderId="22" xfId="0" applyNumberFormat="1" applyFont="1" applyFill="1" applyBorder="1" applyAlignment="1">
      <alignment horizontal="left" vertical="center"/>
    </xf>
    <xf numFmtId="49" fontId="11" fillId="6" borderId="17" xfId="0" applyNumberFormat="1" applyFont="1" applyFill="1" applyBorder="1" applyAlignment="1">
      <alignment horizontal="center" vertical="center"/>
    </xf>
    <xf numFmtId="49" fontId="11" fillId="7" borderId="26" xfId="0" applyNumberFormat="1" applyFont="1" applyFill="1" applyBorder="1" applyAlignment="1">
      <alignment horizontal="center" vertical="center"/>
    </xf>
    <xf numFmtId="49" fontId="11" fillId="7" borderId="0" xfId="0" applyNumberFormat="1" applyFont="1" applyFill="1" applyBorder="1" applyAlignment="1">
      <alignment horizontal="center" vertical="center"/>
    </xf>
    <xf numFmtId="49" fontId="11" fillId="8" borderId="27" xfId="0" applyNumberFormat="1" applyFont="1" applyFill="1" applyBorder="1" applyAlignment="1">
      <alignment horizontal="center" vertical="center"/>
    </xf>
    <xf numFmtId="49" fontId="11" fillId="8" borderId="0" xfId="0" applyNumberFormat="1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vertical="center"/>
    </xf>
    <xf numFmtId="49" fontId="11" fillId="6" borderId="27" xfId="0" applyNumberFormat="1" applyFont="1" applyFill="1" applyBorder="1" applyAlignment="1">
      <alignment horizontal="center" vertical="center"/>
    </xf>
    <xf numFmtId="164" fontId="12" fillId="6" borderId="0" xfId="0" applyNumberFormat="1" applyFont="1" applyFill="1" applyBorder="1" applyAlignment="1">
      <alignment vertical="center"/>
    </xf>
    <xf numFmtId="164" fontId="12" fillId="9" borderId="27" xfId="0" applyNumberFormat="1" applyFont="1" applyFill="1" applyBorder="1" applyAlignment="1">
      <alignment vertical="center"/>
    </xf>
    <xf numFmtId="164" fontId="3" fillId="9" borderId="0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10" borderId="28" xfId="0" applyNumberFormat="1" applyFont="1" applyFill="1" applyBorder="1" applyAlignment="1">
      <alignment vertical="center"/>
    </xf>
    <xf numFmtId="164" fontId="3" fillId="1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64" fontId="3" fillId="6" borderId="21" xfId="0" applyNumberFormat="1" applyFont="1" applyFill="1" applyBorder="1" applyAlignment="1">
      <alignment vertical="center"/>
    </xf>
    <xf numFmtId="0" fontId="3" fillId="6" borderId="21" xfId="0" applyFont="1" applyFill="1" applyBorder="1" applyAlignment="1">
      <alignment vertical="center"/>
    </xf>
    <xf numFmtId="164" fontId="4" fillId="6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13" fillId="6" borderId="0" xfId="0" applyNumberFormat="1" applyFont="1" applyFill="1" applyBorder="1" applyAlignment="1">
      <alignment vertical="center"/>
    </xf>
    <xf numFmtId="49" fontId="3" fillId="11" borderId="18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4" fontId="4" fillId="0" borderId="0" xfId="3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164" fontId="3" fillId="0" borderId="0" xfId="3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3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Fill="1" applyBorder="1" applyAlignment="1">
      <alignment horizontal="center" vertical="center" wrapText="1"/>
    </xf>
    <xf numFmtId="164" fontId="3" fillId="0" borderId="2" xfId="3" applyNumberFormat="1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164" fontId="3" fillId="0" borderId="29" xfId="3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3" borderId="3" xfId="3" applyNumberFormat="1" applyFont="1" applyFill="1" applyBorder="1" applyAlignment="1">
      <alignment horizontal="right" vertical="center" textRotation="90" wrapText="1"/>
    </xf>
    <xf numFmtId="164" fontId="3" fillId="3" borderId="1" xfId="3" applyNumberFormat="1" applyFont="1" applyFill="1" applyBorder="1" applyAlignment="1">
      <alignment horizontal="right" vertical="center" textRotation="90" wrapText="1"/>
    </xf>
    <xf numFmtId="164" fontId="3" fillId="3" borderId="2" xfId="3" applyNumberFormat="1" applyFont="1" applyFill="1" applyBorder="1" applyAlignment="1">
      <alignment horizontal="right" vertical="center" textRotation="90" wrapText="1"/>
    </xf>
    <xf numFmtId="164" fontId="3" fillId="3" borderId="5" xfId="3" applyNumberFormat="1" applyFont="1" applyFill="1" applyBorder="1" applyAlignment="1">
      <alignment horizontal="right" vertical="center" textRotation="90" wrapText="1"/>
    </xf>
    <xf numFmtId="164" fontId="3" fillId="3" borderId="1" xfId="3" applyNumberFormat="1" applyFont="1" applyFill="1" applyBorder="1" applyAlignment="1">
      <alignment horizontal="right" vertical="center"/>
    </xf>
    <xf numFmtId="164" fontId="3" fillId="3" borderId="29" xfId="3" applyNumberFormat="1" applyFont="1" applyFill="1" applyBorder="1" applyAlignment="1">
      <alignment horizontal="right" vertical="center" textRotation="90" wrapText="1"/>
    </xf>
    <xf numFmtId="164" fontId="4" fillId="0" borderId="3" xfId="3" applyNumberFormat="1" applyFont="1" applyFill="1" applyBorder="1" applyAlignment="1">
      <alignment horizontal="right" vertical="center" wrapText="1"/>
    </xf>
    <xf numFmtId="164" fontId="4" fillId="0" borderId="1" xfId="3" applyNumberFormat="1" applyFont="1" applyFill="1" applyBorder="1" applyAlignment="1">
      <alignment horizontal="right" vertical="center" wrapText="1"/>
    </xf>
    <xf numFmtId="164" fontId="4" fillId="0" borderId="2" xfId="3" applyNumberFormat="1" applyFont="1" applyFill="1" applyBorder="1" applyAlignment="1">
      <alignment horizontal="right" vertical="center" wrapText="1"/>
    </xf>
    <xf numFmtId="164" fontId="4" fillId="0" borderId="5" xfId="3" applyNumberFormat="1" applyFont="1" applyFill="1" applyBorder="1" applyAlignment="1">
      <alignment horizontal="right" vertical="center" wrapText="1"/>
    </xf>
    <xf numFmtId="164" fontId="4" fillId="0" borderId="29" xfId="3" applyNumberFormat="1" applyFont="1" applyFill="1" applyBorder="1" applyAlignment="1">
      <alignment horizontal="right" vertical="center" wrapText="1"/>
    </xf>
    <xf numFmtId="164" fontId="4" fillId="0" borderId="3" xfId="1" applyNumberFormat="1" applyFont="1" applyFill="1" applyBorder="1" applyAlignment="1">
      <alignment horizontal="right"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164" fontId="4" fillId="0" borderId="2" xfId="1" applyNumberFormat="1" applyFont="1" applyFill="1" applyBorder="1" applyAlignment="1">
      <alignment horizontal="right" vertical="center" wrapText="1"/>
    </xf>
    <xf numFmtId="164" fontId="4" fillId="0" borderId="5" xfId="1" applyNumberFormat="1" applyFont="1" applyFill="1" applyBorder="1" applyAlignment="1">
      <alignment horizontal="right" vertical="center" wrapText="1"/>
    </xf>
    <xf numFmtId="164" fontId="4" fillId="0" borderId="4" xfId="3" applyNumberFormat="1" applyFont="1" applyFill="1" applyBorder="1" applyAlignment="1">
      <alignment horizontal="right" vertical="center" wrapText="1"/>
    </xf>
    <xf numFmtId="164" fontId="4" fillId="0" borderId="4" xfId="1" applyNumberFormat="1" applyFont="1" applyFill="1" applyBorder="1" applyAlignment="1">
      <alignment horizontal="right" vertical="center" wrapText="1"/>
    </xf>
    <xf numFmtId="164" fontId="3" fillId="0" borderId="3" xfId="3" applyNumberFormat="1" applyFont="1" applyFill="1" applyBorder="1" applyAlignment="1">
      <alignment horizontal="right" vertical="center" shrinkToFit="1"/>
    </xf>
    <xf numFmtId="164" fontId="3" fillId="0" borderId="1" xfId="3" applyNumberFormat="1" applyFont="1" applyFill="1" applyBorder="1" applyAlignment="1">
      <alignment horizontal="right" vertical="center" shrinkToFit="1"/>
    </xf>
    <xf numFmtId="164" fontId="3" fillId="0" borderId="2" xfId="3" applyNumberFormat="1" applyFont="1" applyFill="1" applyBorder="1" applyAlignment="1">
      <alignment horizontal="right" vertical="center" shrinkToFit="1"/>
    </xf>
    <xf numFmtId="164" fontId="4" fillId="0" borderId="5" xfId="3" applyNumberFormat="1" applyFont="1" applyFill="1" applyBorder="1" applyAlignment="1">
      <alignment horizontal="right" vertical="center" shrinkToFit="1"/>
    </xf>
    <xf numFmtId="164" fontId="4" fillId="0" borderId="29" xfId="3" applyNumberFormat="1" applyFont="1" applyFill="1" applyBorder="1" applyAlignment="1">
      <alignment horizontal="right" vertical="center" shrinkToFit="1"/>
    </xf>
    <xf numFmtId="164" fontId="3" fillId="0" borderId="3" xfId="0" applyNumberFormat="1" applyFont="1" applyFill="1" applyBorder="1" applyAlignment="1">
      <alignment horizontal="right" vertical="center" shrinkToFit="1"/>
    </xf>
    <xf numFmtId="164" fontId="3" fillId="0" borderId="1" xfId="0" applyNumberFormat="1" applyFont="1" applyFill="1" applyBorder="1" applyAlignment="1">
      <alignment horizontal="right" vertical="center" shrinkToFit="1"/>
    </xf>
    <xf numFmtId="164" fontId="4" fillId="0" borderId="5" xfId="0" applyNumberFormat="1" applyFont="1" applyFill="1" applyBorder="1" applyAlignment="1">
      <alignment vertical="center" shrinkToFit="1"/>
    </xf>
    <xf numFmtId="164" fontId="3" fillId="5" borderId="3" xfId="3" applyNumberFormat="1" applyFont="1" applyFill="1" applyBorder="1" applyAlignment="1">
      <alignment horizontal="right" vertical="center" shrinkToFit="1"/>
    </xf>
    <xf numFmtId="164" fontId="3" fillId="5" borderId="3" xfId="0" applyNumberFormat="1" applyFont="1" applyFill="1" applyBorder="1" applyAlignment="1">
      <alignment vertical="center" shrinkToFit="1"/>
    </xf>
    <xf numFmtId="164" fontId="3" fillId="5" borderId="1" xfId="3" applyNumberFormat="1" applyFont="1" applyFill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left" vertical="center"/>
    </xf>
    <xf numFmtId="164" fontId="4" fillId="0" borderId="18" xfId="3" applyNumberFormat="1" applyFont="1" applyFill="1" applyBorder="1" applyAlignment="1">
      <alignment horizontal="right" vertical="center" wrapText="1"/>
    </xf>
    <xf numFmtId="164" fontId="4" fillId="0" borderId="9" xfId="3" applyNumberFormat="1" applyFont="1" applyFill="1" applyBorder="1" applyAlignment="1">
      <alignment horizontal="right" vertical="center" wrapText="1"/>
    </xf>
    <xf numFmtId="164" fontId="4" fillId="0" borderId="6" xfId="3" applyNumberFormat="1" applyFont="1" applyFill="1" applyBorder="1" applyAlignment="1">
      <alignment horizontal="right" vertical="center" wrapText="1"/>
    </xf>
    <xf numFmtId="164" fontId="4" fillId="0" borderId="7" xfId="3" applyNumberFormat="1" applyFont="1" applyFill="1" applyBorder="1" applyAlignment="1">
      <alignment horizontal="right" vertical="center" wrapText="1"/>
    </xf>
    <xf numFmtId="164" fontId="4" fillId="0" borderId="8" xfId="3" applyNumberFormat="1" applyFont="1" applyFill="1" applyBorder="1" applyAlignment="1">
      <alignment horizontal="right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164" fontId="4" fillId="0" borderId="6" xfId="1" applyNumberFormat="1" applyFont="1" applyFill="1" applyBorder="1" applyAlignment="1">
      <alignment horizontal="right" vertical="center" wrapText="1"/>
    </xf>
    <xf numFmtId="164" fontId="4" fillId="0" borderId="7" xfId="1" applyNumberFormat="1" applyFont="1" applyFill="1" applyBorder="1" applyAlignment="1">
      <alignment horizontal="right" vertical="center" wrapText="1"/>
    </xf>
    <xf numFmtId="164" fontId="4" fillId="0" borderId="8" xfId="1" applyNumberFormat="1" applyFont="1" applyFill="1" applyBorder="1" applyAlignment="1">
      <alignment horizontal="right" vertical="center" wrapText="1"/>
    </xf>
    <xf numFmtId="164" fontId="4" fillId="0" borderId="6" xfId="3" applyNumberFormat="1" applyFont="1" applyFill="1" applyBorder="1" applyAlignment="1">
      <alignment horizontal="right" vertical="center" shrinkToFit="1"/>
    </xf>
    <xf numFmtId="164" fontId="4" fillId="0" borderId="7" xfId="3" applyNumberFormat="1" applyFont="1" applyFill="1" applyBorder="1" applyAlignment="1">
      <alignment horizontal="right" vertical="center" shrinkToFit="1"/>
    </xf>
    <xf numFmtId="164" fontId="4" fillId="0" borderId="23" xfId="3" applyNumberFormat="1" applyFont="1" applyFill="1" applyBorder="1" applyAlignment="1">
      <alignment horizontal="right" vertical="center" wrapText="1"/>
    </xf>
    <xf numFmtId="164" fontId="4" fillId="0" borderId="9" xfId="3" applyNumberFormat="1" applyFont="1" applyFill="1" applyBorder="1" applyAlignment="1">
      <alignment horizontal="right" vertical="center" shrinkToFit="1"/>
    </xf>
    <xf numFmtId="164" fontId="4" fillId="0" borderId="30" xfId="3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shrinkToFit="1"/>
    </xf>
    <xf numFmtId="164" fontId="4" fillId="0" borderId="6" xfId="0" applyNumberFormat="1" applyFont="1" applyFill="1" applyBorder="1" applyAlignment="1">
      <alignment horizontal="right" vertical="center" shrinkToFit="1"/>
    </xf>
    <xf numFmtId="164" fontId="4" fillId="0" borderId="23" xfId="1" applyNumberFormat="1" applyFont="1" applyFill="1" applyBorder="1" applyAlignment="1">
      <alignment horizontal="right" vertical="center" wrapText="1"/>
    </xf>
    <xf numFmtId="164" fontId="4" fillId="2" borderId="11" xfId="0" applyNumberFormat="1" applyFont="1" applyFill="1" applyBorder="1" applyAlignment="1">
      <alignment vertical="center"/>
    </xf>
    <xf numFmtId="164" fontId="4" fillId="0" borderId="19" xfId="3" applyNumberFormat="1" applyFont="1" applyFill="1" applyBorder="1" applyAlignment="1">
      <alignment horizontal="right" vertical="center" wrapText="1"/>
    </xf>
    <xf numFmtId="164" fontId="4" fillId="0" borderId="24" xfId="3" applyNumberFormat="1" applyFont="1" applyFill="1" applyBorder="1" applyAlignment="1">
      <alignment horizontal="right" vertical="center" wrapText="1"/>
    </xf>
    <xf numFmtId="164" fontId="4" fillId="0" borderId="19" xfId="1" applyNumberFormat="1" applyFont="1" applyFill="1" applyBorder="1" applyAlignment="1">
      <alignment horizontal="right" vertical="center" wrapText="1"/>
    </xf>
    <xf numFmtId="164" fontId="4" fillId="0" borderId="24" xfId="1" applyNumberFormat="1" applyFont="1" applyFill="1" applyBorder="1" applyAlignment="1">
      <alignment horizontal="right" vertical="center" wrapText="1"/>
    </xf>
    <xf numFmtId="164" fontId="4" fillId="2" borderId="13" xfId="0" applyNumberFormat="1" applyFont="1" applyFill="1" applyBorder="1" applyAlignment="1">
      <alignment vertical="center"/>
    </xf>
    <xf numFmtId="164" fontId="4" fillId="0" borderId="14" xfId="3" applyNumberFormat="1" applyFont="1" applyFill="1" applyBorder="1" applyAlignment="1">
      <alignment horizontal="right" vertical="center" wrapText="1"/>
    </xf>
    <xf numFmtId="164" fontId="4" fillId="0" borderId="12" xfId="3" applyNumberFormat="1" applyFont="1" applyFill="1" applyBorder="1" applyAlignment="1">
      <alignment horizontal="right" vertical="center" wrapText="1"/>
    </xf>
    <xf numFmtId="164" fontId="4" fillId="0" borderId="16" xfId="3" applyNumberFormat="1" applyFont="1" applyFill="1" applyBorder="1" applyAlignment="1">
      <alignment horizontal="right" vertical="center" wrapText="1"/>
    </xf>
    <xf numFmtId="164" fontId="4" fillId="0" borderId="15" xfId="3" applyNumberFormat="1" applyFont="1" applyFill="1" applyBorder="1" applyAlignment="1">
      <alignment horizontal="right" vertical="center" wrapText="1"/>
    </xf>
    <xf numFmtId="164" fontId="4" fillId="0" borderId="14" xfId="1" applyNumberFormat="1" applyFont="1" applyFill="1" applyBorder="1" applyAlignment="1">
      <alignment horizontal="right" vertical="center" wrapText="1"/>
    </xf>
    <xf numFmtId="164" fontId="4" fillId="0" borderId="12" xfId="1" applyNumberFormat="1" applyFont="1" applyFill="1" applyBorder="1" applyAlignment="1">
      <alignment horizontal="right" vertical="center" wrapText="1"/>
    </xf>
    <xf numFmtId="164" fontId="4" fillId="0" borderId="16" xfId="1" applyNumberFormat="1" applyFont="1" applyFill="1" applyBorder="1" applyAlignment="1">
      <alignment horizontal="righ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164" fontId="4" fillId="6" borderId="0" xfId="3" applyNumberFormat="1" applyFont="1" applyFill="1" applyBorder="1" applyAlignment="1">
      <alignment horizontal="right" vertical="center"/>
    </xf>
    <xf numFmtId="164" fontId="4" fillId="0" borderId="11" xfId="3" applyNumberFormat="1" applyFont="1" applyFill="1" applyBorder="1" applyAlignment="1">
      <alignment horizontal="right" vertical="center"/>
    </xf>
    <xf numFmtId="164" fontId="4" fillId="0" borderId="11" xfId="0" applyNumberFormat="1" applyFont="1" applyFill="1" applyBorder="1" applyAlignment="1">
      <alignment vertical="center"/>
    </xf>
    <xf numFmtId="164" fontId="3" fillId="5" borderId="3" xfId="0" applyNumberFormat="1" applyFont="1" applyFill="1" applyBorder="1" applyAlignment="1">
      <alignment horizontal="left" vertical="center"/>
    </xf>
    <xf numFmtId="49" fontId="3" fillId="0" borderId="32" xfId="0" applyNumberFormat="1" applyFont="1" applyFill="1" applyBorder="1" applyAlignment="1">
      <alignment vertical="center"/>
    </xf>
    <xf numFmtId="0" fontId="4" fillId="4" borderId="3" xfId="0" applyFont="1" applyFill="1" applyBorder="1" applyAlignment="1" applyProtection="1">
      <alignment horizontal="center" vertical="center" wrapText="1"/>
    </xf>
    <xf numFmtId="49" fontId="3" fillId="0" borderId="33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>
      <alignment horizontal="center" vertical="center" textRotation="90" wrapText="1"/>
    </xf>
    <xf numFmtId="0" fontId="3" fillId="3" borderId="3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textRotation="90" wrapText="1"/>
    </xf>
    <xf numFmtId="49" fontId="9" fillId="0" borderId="1" xfId="0" applyNumberFormat="1" applyFont="1" applyFill="1" applyBorder="1" applyAlignment="1">
      <alignment horizontal="center" vertical="center"/>
    </xf>
    <xf numFmtId="49" fontId="3" fillId="5" borderId="32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64" fontId="3" fillId="11" borderId="0" xfId="0" applyNumberFormat="1" applyFont="1" applyFill="1" applyBorder="1" applyAlignment="1">
      <alignment horizontal="center" vertical="center" wrapText="1"/>
    </xf>
    <xf numFmtId="164" fontId="3" fillId="5" borderId="18" xfId="3" applyNumberFormat="1" applyFont="1" applyFill="1" applyBorder="1" applyAlignment="1">
      <alignment horizontal="right" vertical="center" shrinkToFit="1"/>
    </xf>
    <xf numFmtId="164" fontId="3" fillId="5" borderId="2" xfId="3" applyNumberFormat="1" applyFont="1" applyFill="1" applyBorder="1" applyAlignment="1">
      <alignment horizontal="right" vertical="center"/>
    </xf>
    <xf numFmtId="164" fontId="4" fillId="0" borderId="31" xfId="3" applyNumberFormat="1" applyFont="1" applyFill="1" applyBorder="1" applyAlignment="1">
      <alignment horizontal="right" vertical="center" wrapText="1"/>
    </xf>
    <xf numFmtId="164" fontId="4" fillId="0" borderId="20" xfId="3" applyNumberFormat="1" applyFont="1" applyFill="1" applyBorder="1" applyAlignment="1">
      <alignment horizontal="right" vertical="center" wrapText="1"/>
    </xf>
    <xf numFmtId="0" fontId="4" fillId="0" borderId="34" xfId="3" applyNumberFormat="1" applyFont="1" applyFill="1" applyBorder="1" applyAlignment="1">
      <alignment horizontal="right" vertical="center"/>
    </xf>
    <xf numFmtId="0" fontId="3" fillId="0" borderId="34" xfId="3" applyNumberFormat="1" applyFont="1" applyFill="1" applyBorder="1" applyAlignment="1">
      <alignment horizontal="right" vertical="center" wrapText="1"/>
    </xf>
    <xf numFmtId="0" fontId="3" fillId="3" borderId="35" xfId="3" applyNumberFormat="1" applyFont="1" applyFill="1" applyBorder="1" applyAlignment="1">
      <alignment horizontal="center" vertical="center" wrapText="1"/>
    </xf>
    <xf numFmtId="0" fontId="3" fillId="3" borderId="35" xfId="3" applyNumberFormat="1" applyFont="1" applyFill="1" applyBorder="1" applyAlignment="1">
      <alignment horizontal="right" vertical="center" textRotation="90" wrapText="1"/>
    </xf>
    <xf numFmtId="0" fontId="4" fillId="0" borderId="35" xfId="3" applyNumberFormat="1" applyFont="1" applyFill="1" applyBorder="1" applyAlignment="1">
      <alignment vertical="center" shrinkToFit="1"/>
    </xf>
    <xf numFmtId="0" fontId="4" fillId="0" borderId="35" xfId="3" applyNumberFormat="1" applyFont="1" applyFill="1" applyBorder="1" applyAlignment="1">
      <alignment horizontal="right" vertical="center" shrinkToFit="1"/>
    </xf>
    <xf numFmtId="0" fontId="3" fillId="5" borderId="35" xfId="3" applyNumberFormat="1" applyFont="1" applyFill="1" applyBorder="1" applyAlignment="1">
      <alignment horizontal="right" vertical="center" shrinkToFit="1"/>
    </xf>
    <xf numFmtId="0" fontId="3" fillId="5" borderId="35" xfId="3" applyNumberFormat="1" applyFont="1" applyFill="1" applyBorder="1" applyAlignment="1">
      <alignment horizontal="right" vertical="center"/>
    </xf>
    <xf numFmtId="0" fontId="4" fillId="0" borderId="36" xfId="3" applyNumberFormat="1" applyFont="1" applyFill="1" applyBorder="1" applyAlignment="1">
      <alignment vertical="center" shrinkToFit="1"/>
    </xf>
    <xf numFmtId="0" fontId="4" fillId="0" borderId="37" xfId="3" applyNumberFormat="1" applyFont="1" applyFill="1" applyBorder="1" applyAlignment="1">
      <alignment horizontal="right" vertical="center" shrinkToFit="1"/>
    </xf>
    <xf numFmtId="0" fontId="4" fillId="0" borderId="38" xfId="3" applyNumberFormat="1" applyFont="1" applyFill="1" applyBorder="1" applyAlignment="1">
      <alignment horizontal="right" vertical="center" shrinkToFit="1"/>
    </xf>
    <xf numFmtId="0" fontId="4" fillId="0" borderId="36" xfId="3" applyNumberFormat="1" applyFont="1" applyFill="1" applyBorder="1" applyAlignment="1">
      <alignment horizontal="right" vertical="center" shrinkToFit="1"/>
    </xf>
    <xf numFmtId="0" fontId="4" fillId="0" borderId="39" xfId="3" applyNumberFormat="1" applyFont="1" applyFill="1" applyBorder="1" applyAlignment="1">
      <alignment horizontal="right" vertical="center" shrinkToFit="1"/>
    </xf>
    <xf numFmtId="0" fontId="4" fillId="0" borderId="40" xfId="3" applyNumberFormat="1" applyFont="1" applyFill="1" applyBorder="1" applyAlignment="1">
      <alignment horizontal="right" vertical="center"/>
    </xf>
  </cellXfs>
  <cellStyles count="4">
    <cellStyle name="Comma" xfId="1" builtinId="3"/>
    <cellStyle name="Currency" xfId="3" builtinId="4"/>
    <cellStyle name="Normal" xfId="0" builtinId="0"/>
    <cellStyle name="Normal 7 2" xfId="2"/>
  </cellStyles>
  <dxfs count="43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92CDDC"/>
      <color rgb="FF4A452A"/>
      <color rgb="FFDDD9C3"/>
      <color rgb="FF948B5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11"/>
  <sheetViews>
    <sheetView showGridLines="0" tabSelected="1" view="pageBreakPreview" topLeftCell="A3" zoomScaleNormal="85" zoomScaleSheetLayoutView="100" workbookViewId="0">
      <selection activeCell="D11" sqref="D11"/>
    </sheetView>
  </sheetViews>
  <sheetFormatPr defaultRowHeight="15" customHeight="1" x14ac:dyDescent="0.25"/>
  <cols>
    <col min="1" max="1" width="2.28515625" style="9" customWidth="1"/>
    <col min="2" max="2" width="4.28515625" style="10" customWidth="1"/>
    <col min="3" max="3" width="4.85546875" style="11" customWidth="1"/>
    <col min="4" max="4" width="8.140625" style="12" customWidth="1"/>
    <col min="5" max="5" width="51" style="12" customWidth="1"/>
    <col min="6" max="7" width="10.28515625" style="12" customWidth="1"/>
    <col min="8" max="8" width="1.85546875" style="105" customWidth="1"/>
    <col min="9" max="11" width="8.5703125" style="106" customWidth="1"/>
    <col min="12" max="12" width="10.140625" style="106" customWidth="1"/>
    <col min="13" max="15" width="8.5703125" style="106" customWidth="1"/>
    <col min="16" max="16" width="11.140625" style="106" customWidth="1"/>
    <col min="17" max="19" width="8.5703125" style="106" customWidth="1"/>
    <col min="20" max="20" width="10.140625" style="106" customWidth="1"/>
    <col min="21" max="23" width="8.5703125" style="106" customWidth="1"/>
    <col min="24" max="24" width="10" style="106" customWidth="1"/>
    <col min="25" max="27" width="8.5703125" style="106" customWidth="1"/>
    <col min="28" max="28" width="9.7109375" style="106" customWidth="1"/>
    <col min="29" max="29" width="13" style="205" customWidth="1"/>
    <col min="30" max="37" width="10.28515625" style="107" customWidth="1"/>
    <col min="38" max="38" width="10.140625" style="107" customWidth="1"/>
    <col min="39" max="39" width="2.85546875" style="13" customWidth="1"/>
    <col min="40" max="41" width="10.28515625" style="12" customWidth="1"/>
    <col min="42" max="144" width="9.140625" style="12"/>
    <col min="145" max="145" width="9.140625" style="12" customWidth="1"/>
    <col min="146" max="146" width="0.7109375" style="12" customWidth="1"/>
    <col min="147" max="147" width="0.85546875" style="12" customWidth="1"/>
    <col min="148" max="150" width="9.140625" style="12" customWidth="1"/>
    <col min="151" max="151" width="5.5703125" style="12" customWidth="1"/>
    <col min="152" max="152" width="2" style="12" customWidth="1"/>
    <col min="153" max="153" width="1.5703125" style="12" customWidth="1"/>
    <col min="154" max="186" width="9.140625" style="12" customWidth="1"/>
    <col min="187" max="187" width="0.28515625" style="12" customWidth="1"/>
    <col min="188" max="190" width="9.140625" style="12" customWidth="1"/>
    <col min="191" max="191" width="1" style="12" customWidth="1"/>
    <col min="192" max="194" width="9.140625" style="12" customWidth="1"/>
    <col min="195" max="195" width="1" style="12" customWidth="1"/>
    <col min="196" max="198" width="9.140625" style="12" customWidth="1"/>
    <col min="199" max="199" width="1" style="12" customWidth="1"/>
    <col min="200" max="202" width="9.140625" style="12" customWidth="1"/>
    <col min="203" max="203" width="1" style="12" customWidth="1"/>
    <col min="204" max="204" width="1.28515625" style="12" customWidth="1"/>
    <col min="205" max="213" width="9.140625" style="12" customWidth="1"/>
    <col min="214" max="214" width="0.42578125" style="12" customWidth="1"/>
    <col min="215" max="219" width="1" style="12" customWidth="1"/>
    <col min="220" max="220" width="0.85546875" style="12" customWidth="1"/>
    <col min="221" max="230" width="1" style="12" customWidth="1"/>
    <col min="231" max="231" width="1.28515625" style="12" customWidth="1"/>
    <col min="232" max="240" width="9.140625" style="12" customWidth="1"/>
    <col min="241" max="241" width="0.42578125" style="12" customWidth="1"/>
    <col min="242" max="244" width="9.140625" style="12" customWidth="1"/>
    <col min="245" max="245" width="1.140625" style="12" customWidth="1"/>
    <col min="246" max="248" width="9.140625" style="12" customWidth="1"/>
    <col min="249" max="249" width="1" style="12" customWidth="1"/>
    <col min="250" max="252" width="9.140625" style="12" customWidth="1"/>
    <col min="253" max="253" width="1.140625" style="12" customWidth="1"/>
    <col min="254" max="256" width="9.140625" style="12" customWidth="1"/>
    <col min="257" max="257" width="1.140625" style="12" customWidth="1"/>
    <col min="258" max="258" width="1.28515625" style="12" customWidth="1"/>
    <col min="259" max="267" width="9.140625" style="12" customWidth="1"/>
    <col min="268" max="400" width="9.140625" style="12"/>
    <col min="401" max="401" width="9.140625" style="12" customWidth="1"/>
    <col min="402" max="402" width="0.7109375" style="12" customWidth="1"/>
    <col min="403" max="403" width="0.85546875" style="12" customWidth="1"/>
    <col min="404" max="406" width="9.140625" style="12" customWidth="1"/>
    <col min="407" max="407" width="5.5703125" style="12" customWidth="1"/>
    <col min="408" max="408" width="2" style="12" customWidth="1"/>
    <col min="409" max="409" width="1.5703125" style="12" customWidth="1"/>
    <col min="410" max="442" width="9.140625" style="12" customWidth="1"/>
    <col min="443" max="443" width="0.28515625" style="12" customWidth="1"/>
    <col min="444" max="446" width="9.140625" style="12" customWidth="1"/>
    <col min="447" max="447" width="1" style="12" customWidth="1"/>
    <col min="448" max="450" width="9.140625" style="12" customWidth="1"/>
    <col min="451" max="451" width="1" style="12" customWidth="1"/>
    <col min="452" max="454" width="9.140625" style="12" customWidth="1"/>
    <col min="455" max="455" width="1" style="12" customWidth="1"/>
    <col min="456" max="458" width="9.140625" style="12" customWidth="1"/>
    <col min="459" max="459" width="1" style="12" customWidth="1"/>
    <col min="460" max="460" width="1.28515625" style="12" customWidth="1"/>
    <col min="461" max="469" width="9.140625" style="12" customWidth="1"/>
    <col min="470" max="470" width="0.42578125" style="12" customWidth="1"/>
    <col min="471" max="475" width="1" style="12" customWidth="1"/>
    <col min="476" max="476" width="0.85546875" style="12" customWidth="1"/>
    <col min="477" max="486" width="1" style="12" customWidth="1"/>
    <col min="487" max="487" width="1.28515625" style="12" customWidth="1"/>
    <col min="488" max="496" width="9.140625" style="12" customWidth="1"/>
    <col min="497" max="497" width="0.42578125" style="12" customWidth="1"/>
    <col min="498" max="500" width="9.140625" style="12" customWidth="1"/>
    <col min="501" max="501" width="1.140625" style="12" customWidth="1"/>
    <col min="502" max="504" width="9.140625" style="12" customWidth="1"/>
    <col min="505" max="505" width="1" style="12" customWidth="1"/>
    <col min="506" max="508" width="9.140625" style="12" customWidth="1"/>
    <col min="509" max="509" width="1.140625" style="12" customWidth="1"/>
    <col min="510" max="512" width="9.140625" style="12" customWidth="1"/>
    <col min="513" max="513" width="1.140625" style="12" customWidth="1"/>
    <col min="514" max="514" width="1.28515625" style="12" customWidth="1"/>
    <col min="515" max="523" width="9.140625" style="12" customWidth="1"/>
    <col min="524" max="656" width="9.140625" style="12"/>
    <col min="657" max="657" width="9.140625" style="12" customWidth="1"/>
    <col min="658" max="658" width="0.7109375" style="12" customWidth="1"/>
    <col min="659" max="659" width="0.85546875" style="12" customWidth="1"/>
    <col min="660" max="662" width="9.140625" style="12" customWidth="1"/>
    <col min="663" max="663" width="5.5703125" style="12" customWidth="1"/>
    <col min="664" max="664" width="2" style="12" customWidth="1"/>
    <col min="665" max="665" width="1.5703125" style="12" customWidth="1"/>
    <col min="666" max="698" width="9.140625" style="12" customWidth="1"/>
    <col min="699" max="699" width="0.28515625" style="12" customWidth="1"/>
    <col min="700" max="702" width="9.140625" style="12" customWidth="1"/>
    <col min="703" max="703" width="1" style="12" customWidth="1"/>
    <col min="704" max="706" width="9.140625" style="12" customWidth="1"/>
    <col min="707" max="707" width="1" style="12" customWidth="1"/>
    <col min="708" max="710" width="9.140625" style="12" customWidth="1"/>
    <col min="711" max="711" width="1" style="12" customWidth="1"/>
    <col min="712" max="714" width="9.140625" style="12" customWidth="1"/>
    <col min="715" max="715" width="1" style="12" customWidth="1"/>
    <col min="716" max="716" width="1.28515625" style="12" customWidth="1"/>
    <col min="717" max="725" width="9.140625" style="12" customWidth="1"/>
    <col min="726" max="726" width="0.42578125" style="12" customWidth="1"/>
    <col min="727" max="731" width="1" style="12" customWidth="1"/>
    <col min="732" max="732" width="0.85546875" style="12" customWidth="1"/>
    <col min="733" max="742" width="1" style="12" customWidth="1"/>
    <col min="743" max="743" width="1.28515625" style="12" customWidth="1"/>
    <col min="744" max="752" width="9.140625" style="12" customWidth="1"/>
    <col min="753" max="753" width="0.42578125" style="12" customWidth="1"/>
    <col min="754" max="756" width="9.140625" style="12" customWidth="1"/>
    <col min="757" max="757" width="1.140625" style="12" customWidth="1"/>
    <col min="758" max="760" width="9.140625" style="12" customWidth="1"/>
    <col min="761" max="761" width="1" style="12" customWidth="1"/>
    <col min="762" max="764" width="9.140625" style="12" customWidth="1"/>
    <col min="765" max="765" width="1.140625" style="12" customWidth="1"/>
    <col min="766" max="768" width="9.140625" style="12" customWidth="1"/>
    <col min="769" max="769" width="1.140625" style="12" customWidth="1"/>
    <col min="770" max="770" width="1.28515625" style="12" customWidth="1"/>
    <col min="771" max="779" width="9.140625" style="12" customWidth="1"/>
    <col min="780" max="912" width="9.140625" style="12"/>
    <col min="913" max="913" width="9.140625" style="12" customWidth="1"/>
    <col min="914" max="914" width="0.7109375" style="12" customWidth="1"/>
    <col min="915" max="915" width="0.85546875" style="12" customWidth="1"/>
    <col min="916" max="918" width="9.140625" style="12" customWidth="1"/>
    <col min="919" max="919" width="5.5703125" style="12" customWidth="1"/>
    <col min="920" max="920" width="2" style="12" customWidth="1"/>
    <col min="921" max="921" width="1.5703125" style="12" customWidth="1"/>
    <col min="922" max="954" width="9.140625" style="12" customWidth="1"/>
    <col min="955" max="955" width="0.28515625" style="12" customWidth="1"/>
    <col min="956" max="958" width="9.140625" style="12" customWidth="1"/>
    <col min="959" max="959" width="1" style="12" customWidth="1"/>
    <col min="960" max="962" width="9.140625" style="12" customWidth="1"/>
    <col min="963" max="963" width="1" style="12" customWidth="1"/>
    <col min="964" max="966" width="9.140625" style="12" customWidth="1"/>
    <col min="967" max="967" width="1" style="12" customWidth="1"/>
    <col min="968" max="970" width="9.140625" style="12" customWidth="1"/>
    <col min="971" max="971" width="1" style="12" customWidth="1"/>
    <col min="972" max="972" width="1.28515625" style="12" customWidth="1"/>
    <col min="973" max="981" width="9.140625" style="12" customWidth="1"/>
    <col min="982" max="982" width="0.42578125" style="12" customWidth="1"/>
    <col min="983" max="987" width="1" style="12" customWidth="1"/>
    <col min="988" max="988" width="0.85546875" style="12" customWidth="1"/>
    <col min="989" max="998" width="1" style="12" customWidth="1"/>
    <col min="999" max="999" width="1.28515625" style="12" customWidth="1"/>
    <col min="1000" max="1008" width="9.140625" style="12" customWidth="1"/>
    <col min="1009" max="1009" width="0.42578125" style="12" customWidth="1"/>
    <col min="1010" max="1012" width="9.140625" style="12" customWidth="1"/>
    <col min="1013" max="1013" width="1.140625" style="12" customWidth="1"/>
    <col min="1014" max="1016" width="9.140625" style="12" customWidth="1"/>
    <col min="1017" max="1017" width="1" style="12" customWidth="1"/>
    <col min="1018" max="1020" width="9.140625" style="12" customWidth="1"/>
    <col min="1021" max="1021" width="1.140625" style="12" customWidth="1"/>
    <col min="1022" max="1024" width="9.140625" style="12" customWidth="1"/>
    <col min="1025" max="1025" width="1.140625" style="12" customWidth="1"/>
    <col min="1026" max="1026" width="1.28515625" style="12" customWidth="1"/>
    <col min="1027" max="1035" width="9.140625" style="12" customWidth="1"/>
    <col min="1036" max="1168" width="9.140625" style="12"/>
    <col min="1169" max="1169" width="9.140625" style="12" customWidth="1"/>
    <col min="1170" max="1170" width="0.7109375" style="12" customWidth="1"/>
    <col min="1171" max="1171" width="0.85546875" style="12" customWidth="1"/>
    <col min="1172" max="1174" width="9.140625" style="12" customWidth="1"/>
    <col min="1175" max="1175" width="5.5703125" style="12" customWidth="1"/>
    <col min="1176" max="1176" width="2" style="12" customWidth="1"/>
    <col min="1177" max="1177" width="1.5703125" style="12" customWidth="1"/>
    <col min="1178" max="1210" width="9.140625" style="12" customWidth="1"/>
    <col min="1211" max="1211" width="0.28515625" style="12" customWidth="1"/>
    <col min="1212" max="1214" width="9.140625" style="12" customWidth="1"/>
    <col min="1215" max="1215" width="1" style="12" customWidth="1"/>
    <col min="1216" max="1218" width="9.140625" style="12" customWidth="1"/>
    <col min="1219" max="1219" width="1" style="12" customWidth="1"/>
    <col min="1220" max="1222" width="9.140625" style="12" customWidth="1"/>
    <col min="1223" max="1223" width="1" style="12" customWidth="1"/>
    <col min="1224" max="1226" width="9.140625" style="12" customWidth="1"/>
    <col min="1227" max="1227" width="1" style="12" customWidth="1"/>
    <col min="1228" max="1228" width="1.28515625" style="12" customWidth="1"/>
    <col min="1229" max="1237" width="9.140625" style="12" customWidth="1"/>
    <col min="1238" max="1238" width="0.42578125" style="12" customWidth="1"/>
    <col min="1239" max="1243" width="1" style="12" customWidth="1"/>
    <col min="1244" max="1244" width="0.85546875" style="12" customWidth="1"/>
    <col min="1245" max="1254" width="1" style="12" customWidth="1"/>
    <col min="1255" max="1255" width="1.28515625" style="12" customWidth="1"/>
    <col min="1256" max="1264" width="9.140625" style="12" customWidth="1"/>
    <col min="1265" max="1265" width="0.42578125" style="12" customWidth="1"/>
    <col min="1266" max="1268" width="9.140625" style="12" customWidth="1"/>
    <col min="1269" max="1269" width="1.140625" style="12" customWidth="1"/>
    <col min="1270" max="1272" width="9.140625" style="12" customWidth="1"/>
    <col min="1273" max="1273" width="1" style="12" customWidth="1"/>
    <col min="1274" max="1276" width="9.140625" style="12" customWidth="1"/>
    <col min="1277" max="1277" width="1.140625" style="12" customWidth="1"/>
    <col min="1278" max="1280" width="9.140625" style="12" customWidth="1"/>
    <col min="1281" max="1281" width="1.140625" style="12" customWidth="1"/>
    <col min="1282" max="1282" width="1.28515625" style="12" customWidth="1"/>
    <col min="1283" max="1291" width="9.140625" style="12" customWidth="1"/>
    <col min="1292" max="1424" width="9.140625" style="12"/>
    <col min="1425" max="1425" width="9.140625" style="12" customWidth="1"/>
    <col min="1426" max="1426" width="0.7109375" style="12" customWidth="1"/>
    <col min="1427" max="1427" width="0.85546875" style="12" customWidth="1"/>
    <col min="1428" max="1430" width="9.140625" style="12" customWidth="1"/>
    <col min="1431" max="1431" width="5.5703125" style="12" customWidth="1"/>
    <col min="1432" max="1432" width="2" style="12" customWidth="1"/>
    <col min="1433" max="1433" width="1.5703125" style="12" customWidth="1"/>
    <col min="1434" max="1466" width="9.140625" style="12" customWidth="1"/>
    <col min="1467" max="1467" width="0.28515625" style="12" customWidth="1"/>
    <col min="1468" max="1470" width="9.140625" style="12" customWidth="1"/>
    <col min="1471" max="1471" width="1" style="12" customWidth="1"/>
    <col min="1472" max="1474" width="9.140625" style="12" customWidth="1"/>
    <col min="1475" max="1475" width="1" style="12" customWidth="1"/>
    <col min="1476" max="1478" width="9.140625" style="12" customWidth="1"/>
    <col min="1479" max="1479" width="1" style="12" customWidth="1"/>
    <col min="1480" max="1482" width="9.140625" style="12" customWidth="1"/>
    <col min="1483" max="1483" width="1" style="12" customWidth="1"/>
    <col min="1484" max="1484" width="1.28515625" style="12" customWidth="1"/>
    <col min="1485" max="1493" width="9.140625" style="12" customWidth="1"/>
    <col min="1494" max="1494" width="0.42578125" style="12" customWidth="1"/>
    <col min="1495" max="1499" width="1" style="12" customWidth="1"/>
    <col min="1500" max="1500" width="0.85546875" style="12" customWidth="1"/>
    <col min="1501" max="1510" width="1" style="12" customWidth="1"/>
    <col min="1511" max="1511" width="1.28515625" style="12" customWidth="1"/>
    <col min="1512" max="1520" width="9.140625" style="12" customWidth="1"/>
    <col min="1521" max="1521" width="0.42578125" style="12" customWidth="1"/>
    <col min="1522" max="1524" width="9.140625" style="12" customWidth="1"/>
    <col min="1525" max="1525" width="1.140625" style="12" customWidth="1"/>
    <col min="1526" max="1528" width="9.140625" style="12" customWidth="1"/>
    <col min="1529" max="1529" width="1" style="12" customWidth="1"/>
    <col min="1530" max="1532" width="9.140625" style="12" customWidth="1"/>
    <col min="1533" max="1533" width="1.140625" style="12" customWidth="1"/>
    <col min="1534" max="1536" width="9.140625" style="12" customWidth="1"/>
    <col min="1537" max="1537" width="1.140625" style="12" customWidth="1"/>
    <col min="1538" max="1538" width="1.28515625" style="12" customWidth="1"/>
    <col min="1539" max="1547" width="9.140625" style="12" customWidth="1"/>
    <col min="1548" max="1680" width="9.140625" style="12"/>
    <col min="1681" max="1681" width="9.140625" style="12" customWidth="1"/>
    <col min="1682" max="1682" width="0.7109375" style="12" customWidth="1"/>
    <col min="1683" max="1683" width="0.85546875" style="12" customWidth="1"/>
    <col min="1684" max="1686" width="9.140625" style="12" customWidth="1"/>
    <col min="1687" max="1687" width="5.5703125" style="12" customWidth="1"/>
    <col min="1688" max="1688" width="2" style="12" customWidth="1"/>
    <col min="1689" max="1689" width="1.5703125" style="12" customWidth="1"/>
    <col min="1690" max="1722" width="9.140625" style="12" customWidth="1"/>
    <col min="1723" max="1723" width="0.28515625" style="12" customWidth="1"/>
    <col min="1724" max="1726" width="9.140625" style="12" customWidth="1"/>
    <col min="1727" max="1727" width="1" style="12" customWidth="1"/>
    <col min="1728" max="1730" width="9.140625" style="12" customWidth="1"/>
    <col min="1731" max="1731" width="1" style="12" customWidth="1"/>
    <col min="1732" max="1734" width="9.140625" style="12" customWidth="1"/>
    <col min="1735" max="1735" width="1" style="12" customWidth="1"/>
    <col min="1736" max="1738" width="9.140625" style="12" customWidth="1"/>
    <col min="1739" max="1739" width="1" style="12" customWidth="1"/>
    <col min="1740" max="1740" width="1.28515625" style="12" customWidth="1"/>
    <col min="1741" max="1749" width="9.140625" style="12" customWidth="1"/>
    <col min="1750" max="1750" width="0.42578125" style="12" customWidth="1"/>
    <col min="1751" max="1755" width="1" style="12" customWidth="1"/>
    <col min="1756" max="1756" width="0.85546875" style="12" customWidth="1"/>
    <col min="1757" max="1766" width="1" style="12" customWidth="1"/>
    <col min="1767" max="1767" width="1.28515625" style="12" customWidth="1"/>
    <col min="1768" max="1776" width="9.140625" style="12" customWidth="1"/>
    <col min="1777" max="1777" width="0.42578125" style="12" customWidth="1"/>
    <col min="1778" max="1780" width="9.140625" style="12" customWidth="1"/>
    <col min="1781" max="1781" width="1.140625" style="12" customWidth="1"/>
    <col min="1782" max="1784" width="9.140625" style="12" customWidth="1"/>
    <col min="1785" max="1785" width="1" style="12" customWidth="1"/>
    <col min="1786" max="1788" width="9.140625" style="12" customWidth="1"/>
    <col min="1789" max="1789" width="1.140625" style="12" customWidth="1"/>
    <col min="1790" max="1792" width="9.140625" style="12" customWidth="1"/>
    <col min="1793" max="1793" width="1.140625" style="12" customWidth="1"/>
    <col min="1794" max="1794" width="1.28515625" style="12" customWidth="1"/>
    <col min="1795" max="1803" width="9.140625" style="12" customWidth="1"/>
    <col min="1804" max="1936" width="9.140625" style="12"/>
    <col min="1937" max="1937" width="9.140625" style="12" customWidth="1"/>
    <col min="1938" max="1938" width="0.7109375" style="12" customWidth="1"/>
    <col min="1939" max="1939" width="0.85546875" style="12" customWidth="1"/>
    <col min="1940" max="1942" width="9.140625" style="12" customWidth="1"/>
    <col min="1943" max="1943" width="5.5703125" style="12" customWidth="1"/>
    <col min="1944" max="1944" width="2" style="12" customWidth="1"/>
    <col min="1945" max="1945" width="1.5703125" style="12" customWidth="1"/>
    <col min="1946" max="1978" width="9.140625" style="12" customWidth="1"/>
    <col min="1979" max="1979" width="0.28515625" style="12" customWidth="1"/>
    <col min="1980" max="1982" width="9.140625" style="12" customWidth="1"/>
    <col min="1983" max="1983" width="1" style="12" customWidth="1"/>
    <col min="1984" max="1986" width="9.140625" style="12" customWidth="1"/>
    <col min="1987" max="1987" width="1" style="12" customWidth="1"/>
    <col min="1988" max="1990" width="9.140625" style="12" customWidth="1"/>
    <col min="1991" max="1991" width="1" style="12" customWidth="1"/>
    <col min="1992" max="1994" width="9.140625" style="12" customWidth="1"/>
    <col min="1995" max="1995" width="1" style="12" customWidth="1"/>
    <col min="1996" max="1996" width="1.28515625" style="12" customWidth="1"/>
    <col min="1997" max="2005" width="9.140625" style="12" customWidth="1"/>
    <col min="2006" max="2006" width="0.42578125" style="12" customWidth="1"/>
    <col min="2007" max="2011" width="1" style="12" customWidth="1"/>
    <col min="2012" max="2012" width="0.85546875" style="12" customWidth="1"/>
    <col min="2013" max="2022" width="1" style="12" customWidth="1"/>
    <col min="2023" max="2023" width="1.28515625" style="12" customWidth="1"/>
    <col min="2024" max="2032" width="9.140625" style="12" customWidth="1"/>
    <col min="2033" max="2033" width="0.42578125" style="12" customWidth="1"/>
    <col min="2034" max="2036" width="9.140625" style="12" customWidth="1"/>
    <col min="2037" max="2037" width="1.140625" style="12" customWidth="1"/>
    <col min="2038" max="2040" width="9.140625" style="12" customWidth="1"/>
    <col min="2041" max="2041" width="1" style="12" customWidth="1"/>
    <col min="2042" max="2044" width="9.140625" style="12" customWidth="1"/>
    <col min="2045" max="2045" width="1.140625" style="12" customWidth="1"/>
    <col min="2046" max="2048" width="9.140625" style="12" customWidth="1"/>
    <col min="2049" max="2049" width="1.140625" style="12" customWidth="1"/>
    <col min="2050" max="2050" width="1.28515625" style="12" customWidth="1"/>
    <col min="2051" max="2059" width="9.140625" style="12" customWidth="1"/>
    <col min="2060" max="2192" width="9.140625" style="12"/>
    <col min="2193" max="2193" width="9.140625" style="12" customWidth="1"/>
    <col min="2194" max="2194" width="0.7109375" style="12" customWidth="1"/>
    <col min="2195" max="2195" width="0.85546875" style="12" customWidth="1"/>
    <col min="2196" max="2198" width="9.140625" style="12" customWidth="1"/>
    <col min="2199" max="2199" width="5.5703125" style="12" customWidth="1"/>
    <col min="2200" max="2200" width="2" style="12" customWidth="1"/>
    <col min="2201" max="2201" width="1.5703125" style="12" customWidth="1"/>
    <col min="2202" max="2234" width="9.140625" style="12" customWidth="1"/>
    <col min="2235" max="2235" width="0.28515625" style="12" customWidth="1"/>
    <col min="2236" max="2238" width="9.140625" style="12" customWidth="1"/>
    <col min="2239" max="2239" width="1" style="12" customWidth="1"/>
    <col min="2240" max="2242" width="9.140625" style="12" customWidth="1"/>
    <col min="2243" max="2243" width="1" style="12" customWidth="1"/>
    <col min="2244" max="2246" width="9.140625" style="12" customWidth="1"/>
    <col min="2247" max="2247" width="1" style="12" customWidth="1"/>
    <col min="2248" max="2250" width="9.140625" style="12" customWidth="1"/>
    <col min="2251" max="2251" width="1" style="12" customWidth="1"/>
    <col min="2252" max="2252" width="1.28515625" style="12" customWidth="1"/>
    <col min="2253" max="2261" width="9.140625" style="12" customWidth="1"/>
    <col min="2262" max="2262" width="0.42578125" style="12" customWidth="1"/>
    <col min="2263" max="2267" width="1" style="12" customWidth="1"/>
    <col min="2268" max="2268" width="0.85546875" style="12" customWidth="1"/>
    <col min="2269" max="2278" width="1" style="12" customWidth="1"/>
    <col min="2279" max="2279" width="1.28515625" style="12" customWidth="1"/>
    <col min="2280" max="2288" width="9.140625" style="12" customWidth="1"/>
    <col min="2289" max="2289" width="0.42578125" style="12" customWidth="1"/>
    <col min="2290" max="2292" width="9.140625" style="12" customWidth="1"/>
    <col min="2293" max="2293" width="1.140625" style="12" customWidth="1"/>
    <col min="2294" max="2296" width="9.140625" style="12" customWidth="1"/>
    <col min="2297" max="2297" width="1" style="12" customWidth="1"/>
    <col min="2298" max="2300" width="9.140625" style="12" customWidth="1"/>
    <col min="2301" max="2301" width="1.140625" style="12" customWidth="1"/>
    <col min="2302" max="2304" width="9.140625" style="12" customWidth="1"/>
    <col min="2305" max="2305" width="1.140625" style="12" customWidth="1"/>
    <col min="2306" max="2306" width="1.28515625" style="12" customWidth="1"/>
    <col min="2307" max="2315" width="9.140625" style="12" customWidth="1"/>
    <col min="2316" max="2448" width="9.140625" style="12"/>
    <col min="2449" max="2449" width="9.140625" style="12" customWidth="1"/>
    <col min="2450" max="2450" width="0.7109375" style="12" customWidth="1"/>
    <col min="2451" max="2451" width="0.85546875" style="12" customWidth="1"/>
    <col min="2452" max="2454" width="9.140625" style="12" customWidth="1"/>
    <col min="2455" max="2455" width="5.5703125" style="12" customWidth="1"/>
    <col min="2456" max="2456" width="2" style="12" customWidth="1"/>
    <col min="2457" max="2457" width="1.5703125" style="12" customWidth="1"/>
    <col min="2458" max="2490" width="9.140625" style="12" customWidth="1"/>
    <col min="2491" max="2491" width="0.28515625" style="12" customWidth="1"/>
    <col min="2492" max="2494" width="9.140625" style="12" customWidth="1"/>
    <col min="2495" max="2495" width="1" style="12" customWidth="1"/>
    <col min="2496" max="2498" width="9.140625" style="12" customWidth="1"/>
    <col min="2499" max="2499" width="1" style="12" customWidth="1"/>
    <col min="2500" max="2502" width="9.140625" style="12" customWidth="1"/>
    <col min="2503" max="2503" width="1" style="12" customWidth="1"/>
    <col min="2504" max="2506" width="9.140625" style="12" customWidth="1"/>
    <col min="2507" max="2507" width="1" style="12" customWidth="1"/>
    <col min="2508" max="2508" width="1.28515625" style="12" customWidth="1"/>
    <col min="2509" max="2517" width="9.140625" style="12" customWidth="1"/>
    <col min="2518" max="2518" width="0.42578125" style="12" customWidth="1"/>
    <col min="2519" max="2523" width="1" style="12" customWidth="1"/>
    <col min="2524" max="2524" width="0.85546875" style="12" customWidth="1"/>
    <col min="2525" max="2534" width="1" style="12" customWidth="1"/>
    <col min="2535" max="2535" width="1.28515625" style="12" customWidth="1"/>
    <col min="2536" max="2544" width="9.140625" style="12" customWidth="1"/>
    <col min="2545" max="2545" width="0.42578125" style="12" customWidth="1"/>
    <col min="2546" max="2548" width="9.140625" style="12" customWidth="1"/>
    <col min="2549" max="2549" width="1.140625" style="12" customWidth="1"/>
    <col min="2550" max="2552" width="9.140625" style="12" customWidth="1"/>
    <col min="2553" max="2553" width="1" style="12" customWidth="1"/>
    <col min="2554" max="2556" width="9.140625" style="12" customWidth="1"/>
    <col min="2557" max="2557" width="1.140625" style="12" customWidth="1"/>
    <col min="2558" max="2560" width="9.140625" style="12" customWidth="1"/>
    <col min="2561" max="2561" width="1.140625" style="12" customWidth="1"/>
    <col min="2562" max="2562" width="1.28515625" style="12" customWidth="1"/>
    <col min="2563" max="2571" width="9.140625" style="12" customWidth="1"/>
    <col min="2572" max="2704" width="9.140625" style="12"/>
    <col min="2705" max="2705" width="9.140625" style="12" customWidth="1"/>
    <col min="2706" max="2706" width="0.7109375" style="12" customWidth="1"/>
    <col min="2707" max="2707" width="0.85546875" style="12" customWidth="1"/>
    <col min="2708" max="2710" width="9.140625" style="12" customWidth="1"/>
    <col min="2711" max="2711" width="5.5703125" style="12" customWidth="1"/>
    <col min="2712" max="2712" width="2" style="12" customWidth="1"/>
    <col min="2713" max="2713" width="1.5703125" style="12" customWidth="1"/>
    <col min="2714" max="2746" width="9.140625" style="12" customWidth="1"/>
    <col min="2747" max="2747" width="0.28515625" style="12" customWidth="1"/>
    <col min="2748" max="2750" width="9.140625" style="12" customWidth="1"/>
    <col min="2751" max="2751" width="1" style="12" customWidth="1"/>
    <col min="2752" max="2754" width="9.140625" style="12" customWidth="1"/>
    <col min="2755" max="2755" width="1" style="12" customWidth="1"/>
    <col min="2756" max="2758" width="9.140625" style="12" customWidth="1"/>
    <col min="2759" max="2759" width="1" style="12" customWidth="1"/>
    <col min="2760" max="2762" width="9.140625" style="12" customWidth="1"/>
    <col min="2763" max="2763" width="1" style="12" customWidth="1"/>
    <col min="2764" max="2764" width="1.28515625" style="12" customWidth="1"/>
    <col min="2765" max="2773" width="9.140625" style="12" customWidth="1"/>
    <col min="2774" max="2774" width="0.42578125" style="12" customWidth="1"/>
    <col min="2775" max="2779" width="1" style="12" customWidth="1"/>
    <col min="2780" max="2780" width="0.85546875" style="12" customWidth="1"/>
    <col min="2781" max="2790" width="1" style="12" customWidth="1"/>
    <col min="2791" max="2791" width="1.28515625" style="12" customWidth="1"/>
    <col min="2792" max="2800" width="9.140625" style="12" customWidth="1"/>
    <col min="2801" max="2801" width="0.42578125" style="12" customWidth="1"/>
    <col min="2802" max="2804" width="9.140625" style="12" customWidth="1"/>
    <col min="2805" max="2805" width="1.140625" style="12" customWidth="1"/>
    <col min="2806" max="2808" width="9.140625" style="12" customWidth="1"/>
    <col min="2809" max="2809" width="1" style="12" customWidth="1"/>
    <col min="2810" max="2812" width="9.140625" style="12" customWidth="1"/>
    <col min="2813" max="2813" width="1.140625" style="12" customWidth="1"/>
    <col min="2814" max="2816" width="9.140625" style="12" customWidth="1"/>
    <col min="2817" max="2817" width="1.140625" style="12" customWidth="1"/>
    <col min="2818" max="2818" width="1.28515625" style="12" customWidth="1"/>
    <col min="2819" max="2827" width="9.140625" style="12" customWidth="1"/>
    <col min="2828" max="2960" width="9.140625" style="12"/>
    <col min="2961" max="2961" width="9.140625" style="12" customWidth="1"/>
    <col min="2962" max="2962" width="0.7109375" style="12" customWidth="1"/>
    <col min="2963" max="2963" width="0.85546875" style="12" customWidth="1"/>
    <col min="2964" max="2966" width="9.140625" style="12" customWidth="1"/>
    <col min="2967" max="2967" width="5.5703125" style="12" customWidth="1"/>
    <col min="2968" max="2968" width="2" style="12" customWidth="1"/>
    <col min="2969" max="2969" width="1.5703125" style="12" customWidth="1"/>
    <col min="2970" max="3002" width="9.140625" style="12" customWidth="1"/>
    <col min="3003" max="3003" width="0.28515625" style="12" customWidth="1"/>
    <col min="3004" max="3006" width="9.140625" style="12" customWidth="1"/>
    <col min="3007" max="3007" width="1" style="12" customWidth="1"/>
    <col min="3008" max="3010" width="9.140625" style="12" customWidth="1"/>
    <col min="3011" max="3011" width="1" style="12" customWidth="1"/>
    <col min="3012" max="3014" width="9.140625" style="12" customWidth="1"/>
    <col min="3015" max="3015" width="1" style="12" customWidth="1"/>
    <col min="3016" max="3018" width="9.140625" style="12" customWidth="1"/>
    <col min="3019" max="3019" width="1" style="12" customWidth="1"/>
    <col min="3020" max="3020" width="1.28515625" style="12" customWidth="1"/>
    <col min="3021" max="3029" width="9.140625" style="12" customWidth="1"/>
    <col min="3030" max="3030" width="0.42578125" style="12" customWidth="1"/>
    <col min="3031" max="3035" width="1" style="12" customWidth="1"/>
    <col min="3036" max="3036" width="0.85546875" style="12" customWidth="1"/>
    <col min="3037" max="3046" width="1" style="12" customWidth="1"/>
    <col min="3047" max="3047" width="1.28515625" style="12" customWidth="1"/>
    <col min="3048" max="3056" width="9.140625" style="12" customWidth="1"/>
    <col min="3057" max="3057" width="0.42578125" style="12" customWidth="1"/>
    <col min="3058" max="3060" width="9.140625" style="12" customWidth="1"/>
    <col min="3061" max="3061" width="1.140625" style="12" customWidth="1"/>
    <col min="3062" max="3064" width="9.140625" style="12" customWidth="1"/>
    <col min="3065" max="3065" width="1" style="12" customWidth="1"/>
    <col min="3066" max="3068" width="9.140625" style="12" customWidth="1"/>
    <col min="3069" max="3069" width="1.140625" style="12" customWidth="1"/>
    <col min="3070" max="3072" width="9.140625" style="12" customWidth="1"/>
    <col min="3073" max="3073" width="1.140625" style="12" customWidth="1"/>
    <col min="3074" max="3074" width="1.28515625" style="12" customWidth="1"/>
    <col min="3075" max="3083" width="9.140625" style="12" customWidth="1"/>
    <col min="3084" max="3216" width="9.140625" style="12"/>
    <col min="3217" max="3217" width="9.140625" style="12" customWidth="1"/>
    <col min="3218" max="3218" width="0.7109375" style="12" customWidth="1"/>
    <col min="3219" max="3219" width="0.85546875" style="12" customWidth="1"/>
    <col min="3220" max="3222" width="9.140625" style="12" customWidth="1"/>
    <col min="3223" max="3223" width="5.5703125" style="12" customWidth="1"/>
    <col min="3224" max="3224" width="2" style="12" customWidth="1"/>
    <col min="3225" max="3225" width="1.5703125" style="12" customWidth="1"/>
    <col min="3226" max="3258" width="9.140625" style="12" customWidth="1"/>
    <col min="3259" max="3259" width="0.28515625" style="12" customWidth="1"/>
    <col min="3260" max="3262" width="9.140625" style="12" customWidth="1"/>
    <col min="3263" max="3263" width="1" style="12" customWidth="1"/>
    <col min="3264" max="3266" width="9.140625" style="12" customWidth="1"/>
    <col min="3267" max="3267" width="1" style="12" customWidth="1"/>
    <col min="3268" max="3270" width="9.140625" style="12" customWidth="1"/>
    <col min="3271" max="3271" width="1" style="12" customWidth="1"/>
    <col min="3272" max="3274" width="9.140625" style="12" customWidth="1"/>
    <col min="3275" max="3275" width="1" style="12" customWidth="1"/>
    <col min="3276" max="3276" width="1.28515625" style="12" customWidth="1"/>
    <col min="3277" max="3285" width="9.140625" style="12" customWidth="1"/>
    <col min="3286" max="3286" width="0.42578125" style="12" customWidth="1"/>
    <col min="3287" max="3291" width="1" style="12" customWidth="1"/>
    <col min="3292" max="3292" width="0.85546875" style="12" customWidth="1"/>
    <col min="3293" max="3302" width="1" style="12" customWidth="1"/>
    <col min="3303" max="3303" width="1.28515625" style="12" customWidth="1"/>
    <col min="3304" max="3312" width="9.140625" style="12" customWidth="1"/>
    <col min="3313" max="3313" width="0.42578125" style="12" customWidth="1"/>
    <col min="3314" max="3316" width="9.140625" style="12" customWidth="1"/>
    <col min="3317" max="3317" width="1.140625" style="12" customWidth="1"/>
    <col min="3318" max="3320" width="9.140625" style="12" customWidth="1"/>
    <col min="3321" max="3321" width="1" style="12" customWidth="1"/>
    <col min="3322" max="3324" width="9.140625" style="12" customWidth="1"/>
    <col min="3325" max="3325" width="1.140625" style="12" customWidth="1"/>
    <col min="3326" max="3328" width="9.140625" style="12" customWidth="1"/>
    <col min="3329" max="3329" width="1.140625" style="12" customWidth="1"/>
    <col min="3330" max="3330" width="1.28515625" style="12" customWidth="1"/>
    <col min="3331" max="3339" width="9.140625" style="12" customWidth="1"/>
    <col min="3340" max="3472" width="9.140625" style="12"/>
    <col min="3473" max="3473" width="9.140625" style="12" customWidth="1"/>
    <col min="3474" max="3474" width="0.7109375" style="12" customWidth="1"/>
    <col min="3475" max="3475" width="0.85546875" style="12" customWidth="1"/>
    <col min="3476" max="3478" width="9.140625" style="12" customWidth="1"/>
    <col min="3479" max="3479" width="5.5703125" style="12" customWidth="1"/>
    <col min="3480" max="3480" width="2" style="12" customWidth="1"/>
    <col min="3481" max="3481" width="1.5703125" style="12" customWidth="1"/>
    <col min="3482" max="3514" width="9.140625" style="12" customWidth="1"/>
    <col min="3515" max="3515" width="0.28515625" style="12" customWidth="1"/>
    <col min="3516" max="3518" width="9.140625" style="12" customWidth="1"/>
    <col min="3519" max="3519" width="1" style="12" customWidth="1"/>
    <col min="3520" max="3522" width="9.140625" style="12" customWidth="1"/>
    <col min="3523" max="3523" width="1" style="12" customWidth="1"/>
    <col min="3524" max="3526" width="9.140625" style="12" customWidth="1"/>
    <col min="3527" max="3527" width="1" style="12" customWidth="1"/>
    <col min="3528" max="3530" width="9.140625" style="12" customWidth="1"/>
    <col min="3531" max="3531" width="1" style="12" customWidth="1"/>
    <col min="3532" max="3532" width="1.28515625" style="12" customWidth="1"/>
    <col min="3533" max="3541" width="9.140625" style="12" customWidth="1"/>
    <col min="3542" max="3542" width="0.42578125" style="12" customWidth="1"/>
    <col min="3543" max="3547" width="1" style="12" customWidth="1"/>
    <col min="3548" max="3548" width="0.85546875" style="12" customWidth="1"/>
    <col min="3549" max="3558" width="1" style="12" customWidth="1"/>
    <col min="3559" max="3559" width="1.28515625" style="12" customWidth="1"/>
    <col min="3560" max="3568" width="9.140625" style="12" customWidth="1"/>
    <col min="3569" max="3569" width="0.42578125" style="12" customWidth="1"/>
    <col min="3570" max="3572" width="9.140625" style="12" customWidth="1"/>
    <col min="3573" max="3573" width="1.140625" style="12" customWidth="1"/>
    <col min="3574" max="3576" width="9.140625" style="12" customWidth="1"/>
    <col min="3577" max="3577" width="1" style="12" customWidth="1"/>
    <col min="3578" max="3580" width="9.140625" style="12" customWidth="1"/>
    <col min="3581" max="3581" width="1.140625" style="12" customWidth="1"/>
    <col min="3582" max="3584" width="9.140625" style="12" customWidth="1"/>
    <col min="3585" max="3585" width="1.140625" style="12" customWidth="1"/>
    <col min="3586" max="3586" width="1.28515625" style="12" customWidth="1"/>
    <col min="3587" max="3595" width="9.140625" style="12" customWidth="1"/>
    <col min="3596" max="3728" width="9.140625" style="12"/>
    <col min="3729" max="3729" width="9.140625" style="12" customWidth="1"/>
    <col min="3730" max="3730" width="0.7109375" style="12" customWidth="1"/>
    <col min="3731" max="3731" width="0.85546875" style="12" customWidth="1"/>
    <col min="3732" max="3734" width="9.140625" style="12" customWidth="1"/>
    <col min="3735" max="3735" width="5.5703125" style="12" customWidth="1"/>
    <col min="3736" max="3736" width="2" style="12" customWidth="1"/>
    <col min="3737" max="3737" width="1.5703125" style="12" customWidth="1"/>
    <col min="3738" max="3770" width="9.140625" style="12" customWidth="1"/>
    <col min="3771" max="3771" width="0.28515625" style="12" customWidth="1"/>
    <col min="3772" max="3774" width="9.140625" style="12" customWidth="1"/>
    <col min="3775" max="3775" width="1" style="12" customWidth="1"/>
    <col min="3776" max="3778" width="9.140625" style="12" customWidth="1"/>
    <col min="3779" max="3779" width="1" style="12" customWidth="1"/>
    <col min="3780" max="3782" width="9.140625" style="12" customWidth="1"/>
    <col min="3783" max="3783" width="1" style="12" customWidth="1"/>
    <col min="3784" max="3786" width="9.140625" style="12" customWidth="1"/>
    <col min="3787" max="3787" width="1" style="12" customWidth="1"/>
    <col min="3788" max="3788" width="1.28515625" style="12" customWidth="1"/>
    <col min="3789" max="3797" width="9.140625" style="12" customWidth="1"/>
    <col min="3798" max="3798" width="0.42578125" style="12" customWidth="1"/>
    <col min="3799" max="3803" width="1" style="12" customWidth="1"/>
    <col min="3804" max="3804" width="0.85546875" style="12" customWidth="1"/>
    <col min="3805" max="3814" width="1" style="12" customWidth="1"/>
    <col min="3815" max="3815" width="1.28515625" style="12" customWidth="1"/>
    <col min="3816" max="3824" width="9.140625" style="12" customWidth="1"/>
    <col min="3825" max="3825" width="0.42578125" style="12" customWidth="1"/>
    <col min="3826" max="3828" width="9.140625" style="12" customWidth="1"/>
    <col min="3829" max="3829" width="1.140625" style="12" customWidth="1"/>
    <col min="3830" max="3832" width="9.140625" style="12" customWidth="1"/>
    <col min="3833" max="3833" width="1" style="12" customWidth="1"/>
    <col min="3834" max="3836" width="9.140625" style="12" customWidth="1"/>
    <col min="3837" max="3837" width="1.140625" style="12" customWidth="1"/>
    <col min="3838" max="3840" width="9.140625" style="12" customWidth="1"/>
    <col min="3841" max="3841" width="1.140625" style="12" customWidth="1"/>
    <col min="3842" max="3842" width="1.28515625" style="12" customWidth="1"/>
    <col min="3843" max="3851" width="9.140625" style="12" customWidth="1"/>
    <col min="3852" max="3984" width="9.140625" style="12"/>
    <col min="3985" max="3985" width="9.140625" style="12" customWidth="1"/>
    <col min="3986" max="3986" width="0.7109375" style="12" customWidth="1"/>
    <col min="3987" max="3987" width="0.85546875" style="12" customWidth="1"/>
    <col min="3988" max="3990" width="9.140625" style="12" customWidth="1"/>
    <col min="3991" max="3991" width="5.5703125" style="12" customWidth="1"/>
    <col min="3992" max="3992" width="2" style="12" customWidth="1"/>
    <col min="3993" max="3993" width="1.5703125" style="12" customWidth="1"/>
    <col min="3994" max="4026" width="9.140625" style="12" customWidth="1"/>
    <col min="4027" max="4027" width="0.28515625" style="12" customWidth="1"/>
    <col min="4028" max="4030" width="9.140625" style="12" customWidth="1"/>
    <col min="4031" max="4031" width="1" style="12" customWidth="1"/>
    <col min="4032" max="4034" width="9.140625" style="12" customWidth="1"/>
    <col min="4035" max="4035" width="1" style="12" customWidth="1"/>
    <col min="4036" max="4038" width="9.140625" style="12" customWidth="1"/>
    <col min="4039" max="4039" width="1" style="12" customWidth="1"/>
    <col min="4040" max="4042" width="9.140625" style="12" customWidth="1"/>
    <col min="4043" max="4043" width="1" style="12" customWidth="1"/>
    <col min="4044" max="4044" width="1.28515625" style="12" customWidth="1"/>
    <col min="4045" max="4053" width="9.140625" style="12" customWidth="1"/>
    <col min="4054" max="4054" width="0.42578125" style="12" customWidth="1"/>
    <col min="4055" max="4059" width="1" style="12" customWidth="1"/>
    <col min="4060" max="4060" width="0.85546875" style="12" customWidth="1"/>
    <col min="4061" max="4070" width="1" style="12" customWidth="1"/>
    <col min="4071" max="4071" width="1.28515625" style="12" customWidth="1"/>
    <col min="4072" max="4080" width="9.140625" style="12" customWidth="1"/>
    <col min="4081" max="4081" width="0.42578125" style="12" customWidth="1"/>
    <col min="4082" max="4084" width="9.140625" style="12" customWidth="1"/>
    <col min="4085" max="4085" width="1.140625" style="12" customWidth="1"/>
    <col min="4086" max="4088" width="9.140625" style="12" customWidth="1"/>
    <col min="4089" max="4089" width="1" style="12" customWidth="1"/>
    <col min="4090" max="4092" width="9.140625" style="12" customWidth="1"/>
    <col min="4093" max="4093" width="1.140625" style="12" customWidth="1"/>
    <col min="4094" max="4096" width="9.140625" style="12" customWidth="1"/>
    <col min="4097" max="4097" width="1.140625" style="12" customWidth="1"/>
    <col min="4098" max="4098" width="1.28515625" style="12" customWidth="1"/>
    <col min="4099" max="4107" width="9.140625" style="12" customWidth="1"/>
    <col min="4108" max="4240" width="9.140625" style="12"/>
    <col min="4241" max="4241" width="9.140625" style="12" customWidth="1"/>
    <col min="4242" max="4242" width="0.7109375" style="12" customWidth="1"/>
    <col min="4243" max="4243" width="0.85546875" style="12" customWidth="1"/>
    <col min="4244" max="4246" width="9.140625" style="12" customWidth="1"/>
    <col min="4247" max="4247" width="5.5703125" style="12" customWidth="1"/>
    <col min="4248" max="4248" width="2" style="12" customWidth="1"/>
    <col min="4249" max="4249" width="1.5703125" style="12" customWidth="1"/>
    <col min="4250" max="4282" width="9.140625" style="12" customWidth="1"/>
    <col min="4283" max="4283" width="0.28515625" style="12" customWidth="1"/>
    <col min="4284" max="4286" width="9.140625" style="12" customWidth="1"/>
    <col min="4287" max="4287" width="1" style="12" customWidth="1"/>
    <col min="4288" max="4290" width="9.140625" style="12" customWidth="1"/>
    <col min="4291" max="4291" width="1" style="12" customWidth="1"/>
    <col min="4292" max="4294" width="9.140625" style="12" customWidth="1"/>
    <col min="4295" max="4295" width="1" style="12" customWidth="1"/>
    <col min="4296" max="4298" width="9.140625" style="12" customWidth="1"/>
    <col min="4299" max="4299" width="1" style="12" customWidth="1"/>
    <col min="4300" max="4300" width="1.28515625" style="12" customWidth="1"/>
    <col min="4301" max="4309" width="9.140625" style="12" customWidth="1"/>
    <col min="4310" max="4310" width="0.42578125" style="12" customWidth="1"/>
    <col min="4311" max="4315" width="1" style="12" customWidth="1"/>
    <col min="4316" max="4316" width="0.85546875" style="12" customWidth="1"/>
    <col min="4317" max="4326" width="1" style="12" customWidth="1"/>
    <col min="4327" max="4327" width="1.28515625" style="12" customWidth="1"/>
    <col min="4328" max="4336" width="9.140625" style="12" customWidth="1"/>
    <col min="4337" max="4337" width="0.42578125" style="12" customWidth="1"/>
    <col min="4338" max="4340" width="9.140625" style="12" customWidth="1"/>
    <col min="4341" max="4341" width="1.140625" style="12" customWidth="1"/>
    <col min="4342" max="4344" width="9.140625" style="12" customWidth="1"/>
    <col min="4345" max="4345" width="1" style="12" customWidth="1"/>
    <col min="4346" max="4348" width="9.140625" style="12" customWidth="1"/>
    <col min="4349" max="4349" width="1.140625" style="12" customWidth="1"/>
    <col min="4350" max="4352" width="9.140625" style="12" customWidth="1"/>
    <col min="4353" max="4353" width="1.140625" style="12" customWidth="1"/>
    <col min="4354" max="4354" width="1.28515625" style="12" customWidth="1"/>
    <col min="4355" max="4363" width="9.140625" style="12" customWidth="1"/>
    <col min="4364" max="4496" width="9.140625" style="12"/>
    <col min="4497" max="4497" width="9.140625" style="12" customWidth="1"/>
    <col min="4498" max="4498" width="0.7109375" style="12" customWidth="1"/>
    <col min="4499" max="4499" width="0.85546875" style="12" customWidth="1"/>
    <col min="4500" max="4502" width="9.140625" style="12" customWidth="1"/>
    <col min="4503" max="4503" width="5.5703125" style="12" customWidth="1"/>
    <col min="4504" max="4504" width="2" style="12" customWidth="1"/>
    <col min="4505" max="4505" width="1.5703125" style="12" customWidth="1"/>
    <col min="4506" max="4538" width="9.140625" style="12" customWidth="1"/>
    <col min="4539" max="4539" width="0.28515625" style="12" customWidth="1"/>
    <col min="4540" max="4542" width="9.140625" style="12" customWidth="1"/>
    <col min="4543" max="4543" width="1" style="12" customWidth="1"/>
    <col min="4544" max="4546" width="9.140625" style="12" customWidth="1"/>
    <col min="4547" max="4547" width="1" style="12" customWidth="1"/>
    <col min="4548" max="4550" width="9.140625" style="12" customWidth="1"/>
    <col min="4551" max="4551" width="1" style="12" customWidth="1"/>
    <col min="4552" max="4554" width="9.140625" style="12" customWidth="1"/>
    <col min="4555" max="4555" width="1" style="12" customWidth="1"/>
    <col min="4556" max="4556" width="1.28515625" style="12" customWidth="1"/>
    <col min="4557" max="4565" width="9.140625" style="12" customWidth="1"/>
    <col min="4566" max="4566" width="0.42578125" style="12" customWidth="1"/>
    <col min="4567" max="4571" width="1" style="12" customWidth="1"/>
    <col min="4572" max="4572" width="0.85546875" style="12" customWidth="1"/>
    <col min="4573" max="4582" width="1" style="12" customWidth="1"/>
    <col min="4583" max="4583" width="1.28515625" style="12" customWidth="1"/>
    <col min="4584" max="4592" width="9.140625" style="12" customWidth="1"/>
    <col min="4593" max="4593" width="0.42578125" style="12" customWidth="1"/>
    <col min="4594" max="4596" width="9.140625" style="12" customWidth="1"/>
    <col min="4597" max="4597" width="1.140625" style="12" customWidth="1"/>
    <col min="4598" max="4600" width="9.140625" style="12" customWidth="1"/>
    <col min="4601" max="4601" width="1" style="12" customWidth="1"/>
    <col min="4602" max="4604" width="9.140625" style="12" customWidth="1"/>
    <col min="4605" max="4605" width="1.140625" style="12" customWidth="1"/>
    <col min="4606" max="4608" width="9.140625" style="12" customWidth="1"/>
    <col min="4609" max="4609" width="1.140625" style="12" customWidth="1"/>
    <col min="4610" max="4610" width="1.28515625" style="12" customWidth="1"/>
    <col min="4611" max="4619" width="9.140625" style="12" customWidth="1"/>
    <col min="4620" max="4752" width="9.140625" style="12"/>
    <col min="4753" max="4753" width="9.140625" style="12" customWidth="1"/>
    <col min="4754" max="4754" width="0.7109375" style="12" customWidth="1"/>
    <col min="4755" max="4755" width="0.85546875" style="12" customWidth="1"/>
    <col min="4756" max="4758" width="9.140625" style="12" customWidth="1"/>
    <col min="4759" max="4759" width="5.5703125" style="12" customWidth="1"/>
    <col min="4760" max="4760" width="2" style="12" customWidth="1"/>
    <col min="4761" max="4761" width="1.5703125" style="12" customWidth="1"/>
    <col min="4762" max="4794" width="9.140625" style="12" customWidth="1"/>
    <col min="4795" max="4795" width="0.28515625" style="12" customWidth="1"/>
    <col min="4796" max="4798" width="9.140625" style="12" customWidth="1"/>
    <col min="4799" max="4799" width="1" style="12" customWidth="1"/>
    <col min="4800" max="4802" width="9.140625" style="12" customWidth="1"/>
    <col min="4803" max="4803" width="1" style="12" customWidth="1"/>
    <col min="4804" max="4806" width="9.140625" style="12" customWidth="1"/>
    <col min="4807" max="4807" width="1" style="12" customWidth="1"/>
    <col min="4808" max="4810" width="9.140625" style="12" customWidth="1"/>
    <col min="4811" max="4811" width="1" style="12" customWidth="1"/>
    <col min="4812" max="4812" width="1.28515625" style="12" customWidth="1"/>
    <col min="4813" max="4821" width="9.140625" style="12" customWidth="1"/>
    <col min="4822" max="4822" width="0.42578125" style="12" customWidth="1"/>
    <col min="4823" max="4827" width="1" style="12" customWidth="1"/>
    <col min="4828" max="4828" width="0.85546875" style="12" customWidth="1"/>
    <col min="4829" max="4838" width="1" style="12" customWidth="1"/>
    <col min="4839" max="4839" width="1.28515625" style="12" customWidth="1"/>
    <col min="4840" max="4848" width="9.140625" style="12" customWidth="1"/>
    <col min="4849" max="4849" width="0.42578125" style="12" customWidth="1"/>
    <col min="4850" max="4852" width="9.140625" style="12" customWidth="1"/>
    <col min="4853" max="4853" width="1.140625" style="12" customWidth="1"/>
    <col min="4854" max="4856" width="9.140625" style="12" customWidth="1"/>
    <col min="4857" max="4857" width="1" style="12" customWidth="1"/>
    <col min="4858" max="4860" width="9.140625" style="12" customWidth="1"/>
    <col min="4861" max="4861" width="1.140625" style="12" customWidth="1"/>
    <col min="4862" max="4864" width="9.140625" style="12" customWidth="1"/>
    <col min="4865" max="4865" width="1.140625" style="12" customWidth="1"/>
    <col min="4866" max="4866" width="1.28515625" style="12" customWidth="1"/>
    <col min="4867" max="4875" width="9.140625" style="12" customWidth="1"/>
    <col min="4876" max="5008" width="9.140625" style="12"/>
    <col min="5009" max="5009" width="9.140625" style="12" customWidth="1"/>
    <col min="5010" max="5010" width="0.7109375" style="12" customWidth="1"/>
    <col min="5011" max="5011" width="0.85546875" style="12" customWidth="1"/>
    <col min="5012" max="5014" width="9.140625" style="12" customWidth="1"/>
    <col min="5015" max="5015" width="5.5703125" style="12" customWidth="1"/>
    <col min="5016" max="5016" width="2" style="12" customWidth="1"/>
    <col min="5017" max="5017" width="1.5703125" style="12" customWidth="1"/>
    <col min="5018" max="5050" width="9.140625" style="12" customWidth="1"/>
    <col min="5051" max="5051" width="0.28515625" style="12" customWidth="1"/>
    <col min="5052" max="5054" width="9.140625" style="12" customWidth="1"/>
    <col min="5055" max="5055" width="1" style="12" customWidth="1"/>
    <col min="5056" max="5058" width="9.140625" style="12" customWidth="1"/>
    <col min="5059" max="5059" width="1" style="12" customWidth="1"/>
    <col min="5060" max="5062" width="9.140625" style="12" customWidth="1"/>
    <col min="5063" max="5063" width="1" style="12" customWidth="1"/>
    <col min="5064" max="5066" width="9.140625" style="12" customWidth="1"/>
    <col min="5067" max="5067" width="1" style="12" customWidth="1"/>
    <col min="5068" max="5068" width="1.28515625" style="12" customWidth="1"/>
    <col min="5069" max="5077" width="9.140625" style="12" customWidth="1"/>
    <col min="5078" max="5078" width="0.42578125" style="12" customWidth="1"/>
    <col min="5079" max="5083" width="1" style="12" customWidth="1"/>
    <col min="5084" max="5084" width="0.85546875" style="12" customWidth="1"/>
    <col min="5085" max="5094" width="1" style="12" customWidth="1"/>
    <col min="5095" max="5095" width="1.28515625" style="12" customWidth="1"/>
    <col min="5096" max="5104" width="9.140625" style="12" customWidth="1"/>
    <col min="5105" max="5105" width="0.42578125" style="12" customWidth="1"/>
    <col min="5106" max="5108" width="9.140625" style="12" customWidth="1"/>
    <col min="5109" max="5109" width="1.140625" style="12" customWidth="1"/>
    <col min="5110" max="5112" width="9.140625" style="12" customWidth="1"/>
    <col min="5113" max="5113" width="1" style="12" customWidth="1"/>
    <col min="5114" max="5116" width="9.140625" style="12" customWidth="1"/>
    <col min="5117" max="5117" width="1.140625" style="12" customWidth="1"/>
    <col min="5118" max="5120" width="9.140625" style="12" customWidth="1"/>
    <col min="5121" max="5121" width="1.140625" style="12" customWidth="1"/>
    <col min="5122" max="5122" width="1.28515625" style="12" customWidth="1"/>
    <col min="5123" max="5131" width="9.140625" style="12" customWidth="1"/>
    <col min="5132" max="5264" width="9.140625" style="12"/>
    <col min="5265" max="5265" width="9.140625" style="12" customWidth="1"/>
    <col min="5266" max="5266" width="0.7109375" style="12" customWidth="1"/>
    <col min="5267" max="5267" width="0.85546875" style="12" customWidth="1"/>
    <col min="5268" max="5270" width="9.140625" style="12" customWidth="1"/>
    <col min="5271" max="5271" width="5.5703125" style="12" customWidth="1"/>
    <col min="5272" max="5272" width="2" style="12" customWidth="1"/>
    <col min="5273" max="5273" width="1.5703125" style="12" customWidth="1"/>
    <col min="5274" max="5306" width="9.140625" style="12" customWidth="1"/>
    <col min="5307" max="5307" width="0.28515625" style="12" customWidth="1"/>
    <col min="5308" max="5310" width="9.140625" style="12" customWidth="1"/>
    <col min="5311" max="5311" width="1" style="12" customWidth="1"/>
    <col min="5312" max="5314" width="9.140625" style="12" customWidth="1"/>
    <col min="5315" max="5315" width="1" style="12" customWidth="1"/>
    <col min="5316" max="5318" width="9.140625" style="12" customWidth="1"/>
    <col min="5319" max="5319" width="1" style="12" customWidth="1"/>
    <col min="5320" max="5322" width="9.140625" style="12" customWidth="1"/>
    <col min="5323" max="5323" width="1" style="12" customWidth="1"/>
    <col min="5324" max="5324" width="1.28515625" style="12" customWidth="1"/>
    <col min="5325" max="5333" width="9.140625" style="12" customWidth="1"/>
    <col min="5334" max="5334" width="0.42578125" style="12" customWidth="1"/>
    <col min="5335" max="5339" width="1" style="12" customWidth="1"/>
    <col min="5340" max="5340" width="0.85546875" style="12" customWidth="1"/>
    <col min="5341" max="5350" width="1" style="12" customWidth="1"/>
    <col min="5351" max="5351" width="1.28515625" style="12" customWidth="1"/>
    <col min="5352" max="5360" width="9.140625" style="12" customWidth="1"/>
    <col min="5361" max="5361" width="0.42578125" style="12" customWidth="1"/>
    <col min="5362" max="5364" width="9.140625" style="12" customWidth="1"/>
    <col min="5365" max="5365" width="1.140625" style="12" customWidth="1"/>
    <col min="5366" max="5368" width="9.140625" style="12" customWidth="1"/>
    <col min="5369" max="5369" width="1" style="12" customWidth="1"/>
    <col min="5370" max="5372" width="9.140625" style="12" customWidth="1"/>
    <col min="5373" max="5373" width="1.140625" style="12" customWidth="1"/>
    <col min="5374" max="5376" width="9.140625" style="12" customWidth="1"/>
    <col min="5377" max="5377" width="1.140625" style="12" customWidth="1"/>
    <col min="5378" max="5378" width="1.28515625" style="12" customWidth="1"/>
    <col min="5379" max="5387" width="9.140625" style="12" customWidth="1"/>
    <col min="5388" max="5520" width="9.140625" style="12"/>
    <col min="5521" max="5521" width="9.140625" style="12" customWidth="1"/>
    <col min="5522" max="5522" width="0.7109375" style="12" customWidth="1"/>
    <col min="5523" max="5523" width="0.85546875" style="12" customWidth="1"/>
    <col min="5524" max="5526" width="9.140625" style="12" customWidth="1"/>
    <col min="5527" max="5527" width="5.5703125" style="12" customWidth="1"/>
    <col min="5528" max="5528" width="2" style="12" customWidth="1"/>
    <col min="5529" max="5529" width="1.5703125" style="12" customWidth="1"/>
    <col min="5530" max="5562" width="9.140625" style="12" customWidth="1"/>
    <col min="5563" max="5563" width="0.28515625" style="12" customWidth="1"/>
    <col min="5564" max="5566" width="9.140625" style="12" customWidth="1"/>
    <col min="5567" max="5567" width="1" style="12" customWidth="1"/>
    <col min="5568" max="5570" width="9.140625" style="12" customWidth="1"/>
    <col min="5571" max="5571" width="1" style="12" customWidth="1"/>
    <col min="5572" max="5574" width="9.140625" style="12" customWidth="1"/>
    <col min="5575" max="5575" width="1" style="12" customWidth="1"/>
    <col min="5576" max="5578" width="9.140625" style="12" customWidth="1"/>
    <col min="5579" max="5579" width="1" style="12" customWidth="1"/>
    <col min="5580" max="5580" width="1.28515625" style="12" customWidth="1"/>
    <col min="5581" max="5589" width="9.140625" style="12" customWidth="1"/>
    <col min="5590" max="5590" width="0.42578125" style="12" customWidth="1"/>
    <col min="5591" max="5595" width="1" style="12" customWidth="1"/>
    <col min="5596" max="5596" width="0.85546875" style="12" customWidth="1"/>
    <col min="5597" max="5606" width="1" style="12" customWidth="1"/>
    <col min="5607" max="5607" width="1.28515625" style="12" customWidth="1"/>
    <col min="5608" max="5616" width="9.140625" style="12" customWidth="1"/>
    <col min="5617" max="5617" width="0.42578125" style="12" customWidth="1"/>
    <col min="5618" max="5620" width="9.140625" style="12" customWidth="1"/>
    <col min="5621" max="5621" width="1.140625" style="12" customWidth="1"/>
    <col min="5622" max="5624" width="9.140625" style="12" customWidth="1"/>
    <col min="5625" max="5625" width="1" style="12" customWidth="1"/>
    <col min="5626" max="5628" width="9.140625" style="12" customWidth="1"/>
    <col min="5629" max="5629" width="1.140625" style="12" customWidth="1"/>
    <col min="5630" max="5632" width="9.140625" style="12" customWidth="1"/>
    <col min="5633" max="5633" width="1.140625" style="12" customWidth="1"/>
    <col min="5634" max="5634" width="1.28515625" style="12" customWidth="1"/>
    <col min="5635" max="5643" width="9.140625" style="12" customWidth="1"/>
    <col min="5644" max="5776" width="9.140625" style="12"/>
    <col min="5777" max="5777" width="9.140625" style="12" customWidth="1"/>
    <col min="5778" max="5778" width="0.7109375" style="12" customWidth="1"/>
    <col min="5779" max="5779" width="0.85546875" style="12" customWidth="1"/>
    <col min="5780" max="5782" width="9.140625" style="12" customWidth="1"/>
    <col min="5783" max="5783" width="5.5703125" style="12" customWidth="1"/>
    <col min="5784" max="5784" width="2" style="12" customWidth="1"/>
    <col min="5785" max="5785" width="1.5703125" style="12" customWidth="1"/>
    <col min="5786" max="5818" width="9.140625" style="12" customWidth="1"/>
    <col min="5819" max="5819" width="0.28515625" style="12" customWidth="1"/>
    <col min="5820" max="5822" width="9.140625" style="12" customWidth="1"/>
    <col min="5823" max="5823" width="1" style="12" customWidth="1"/>
    <col min="5824" max="5826" width="9.140625" style="12" customWidth="1"/>
    <col min="5827" max="5827" width="1" style="12" customWidth="1"/>
    <col min="5828" max="5830" width="9.140625" style="12" customWidth="1"/>
    <col min="5831" max="5831" width="1" style="12" customWidth="1"/>
    <col min="5832" max="5834" width="9.140625" style="12" customWidth="1"/>
    <col min="5835" max="5835" width="1" style="12" customWidth="1"/>
    <col min="5836" max="5836" width="1.28515625" style="12" customWidth="1"/>
    <col min="5837" max="5845" width="9.140625" style="12" customWidth="1"/>
    <col min="5846" max="5846" width="0.42578125" style="12" customWidth="1"/>
    <col min="5847" max="5851" width="1" style="12" customWidth="1"/>
    <col min="5852" max="5852" width="0.85546875" style="12" customWidth="1"/>
    <col min="5853" max="5862" width="1" style="12" customWidth="1"/>
    <col min="5863" max="5863" width="1.28515625" style="12" customWidth="1"/>
    <col min="5864" max="5872" width="9.140625" style="12" customWidth="1"/>
    <col min="5873" max="5873" width="0.42578125" style="12" customWidth="1"/>
    <col min="5874" max="5876" width="9.140625" style="12" customWidth="1"/>
    <col min="5877" max="5877" width="1.140625" style="12" customWidth="1"/>
    <col min="5878" max="5880" width="9.140625" style="12" customWidth="1"/>
    <col min="5881" max="5881" width="1" style="12" customWidth="1"/>
    <col min="5882" max="5884" width="9.140625" style="12" customWidth="1"/>
    <col min="5885" max="5885" width="1.140625" style="12" customWidth="1"/>
    <col min="5886" max="5888" width="9.140625" style="12" customWidth="1"/>
    <col min="5889" max="5889" width="1.140625" style="12" customWidth="1"/>
    <col min="5890" max="5890" width="1.28515625" style="12" customWidth="1"/>
    <col min="5891" max="5899" width="9.140625" style="12" customWidth="1"/>
    <col min="5900" max="6032" width="9.140625" style="12"/>
    <col min="6033" max="6033" width="9.140625" style="12" customWidth="1"/>
    <col min="6034" max="6034" width="0.7109375" style="12" customWidth="1"/>
    <col min="6035" max="6035" width="0.85546875" style="12" customWidth="1"/>
    <col min="6036" max="6038" width="9.140625" style="12" customWidth="1"/>
    <col min="6039" max="6039" width="5.5703125" style="12" customWidth="1"/>
    <col min="6040" max="6040" width="2" style="12" customWidth="1"/>
    <col min="6041" max="6041" width="1.5703125" style="12" customWidth="1"/>
    <col min="6042" max="6074" width="9.140625" style="12" customWidth="1"/>
    <col min="6075" max="6075" width="0.28515625" style="12" customWidth="1"/>
    <col min="6076" max="6078" width="9.140625" style="12" customWidth="1"/>
    <col min="6079" max="6079" width="1" style="12" customWidth="1"/>
    <col min="6080" max="6082" width="9.140625" style="12" customWidth="1"/>
    <col min="6083" max="6083" width="1" style="12" customWidth="1"/>
    <col min="6084" max="6086" width="9.140625" style="12" customWidth="1"/>
    <col min="6087" max="6087" width="1" style="12" customWidth="1"/>
    <col min="6088" max="6090" width="9.140625" style="12" customWidth="1"/>
    <col min="6091" max="6091" width="1" style="12" customWidth="1"/>
    <col min="6092" max="6092" width="1.28515625" style="12" customWidth="1"/>
    <col min="6093" max="6101" width="9.140625" style="12" customWidth="1"/>
    <col min="6102" max="6102" width="0.42578125" style="12" customWidth="1"/>
    <col min="6103" max="6107" width="1" style="12" customWidth="1"/>
    <col min="6108" max="6108" width="0.85546875" style="12" customWidth="1"/>
    <col min="6109" max="6118" width="1" style="12" customWidth="1"/>
    <col min="6119" max="6119" width="1.28515625" style="12" customWidth="1"/>
    <col min="6120" max="6128" width="9.140625" style="12" customWidth="1"/>
    <col min="6129" max="6129" width="0.42578125" style="12" customWidth="1"/>
    <col min="6130" max="6132" width="9.140625" style="12" customWidth="1"/>
    <col min="6133" max="6133" width="1.140625" style="12" customWidth="1"/>
    <col min="6134" max="6136" width="9.140625" style="12" customWidth="1"/>
    <col min="6137" max="6137" width="1" style="12" customWidth="1"/>
    <col min="6138" max="6140" width="9.140625" style="12" customWidth="1"/>
    <col min="6141" max="6141" width="1.140625" style="12" customWidth="1"/>
    <col min="6142" max="6144" width="9.140625" style="12" customWidth="1"/>
    <col min="6145" max="6145" width="1.140625" style="12" customWidth="1"/>
    <col min="6146" max="6146" width="1.28515625" style="12" customWidth="1"/>
    <col min="6147" max="6155" width="9.140625" style="12" customWidth="1"/>
    <col min="6156" max="6288" width="9.140625" style="12"/>
    <col min="6289" max="6289" width="9.140625" style="12" customWidth="1"/>
    <col min="6290" max="6290" width="0.7109375" style="12" customWidth="1"/>
    <col min="6291" max="6291" width="0.85546875" style="12" customWidth="1"/>
    <col min="6292" max="6294" width="9.140625" style="12" customWidth="1"/>
    <col min="6295" max="6295" width="5.5703125" style="12" customWidth="1"/>
    <col min="6296" max="6296" width="2" style="12" customWidth="1"/>
    <col min="6297" max="6297" width="1.5703125" style="12" customWidth="1"/>
    <col min="6298" max="6330" width="9.140625" style="12" customWidth="1"/>
    <col min="6331" max="6331" width="0.28515625" style="12" customWidth="1"/>
    <col min="6332" max="6334" width="9.140625" style="12" customWidth="1"/>
    <col min="6335" max="6335" width="1" style="12" customWidth="1"/>
    <col min="6336" max="6338" width="9.140625" style="12" customWidth="1"/>
    <col min="6339" max="6339" width="1" style="12" customWidth="1"/>
    <col min="6340" max="6342" width="9.140625" style="12" customWidth="1"/>
    <col min="6343" max="6343" width="1" style="12" customWidth="1"/>
    <col min="6344" max="6346" width="9.140625" style="12" customWidth="1"/>
    <col min="6347" max="6347" width="1" style="12" customWidth="1"/>
    <col min="6348" max="6348" width="1.28515625" style="12" customWidth="1"/>
    <col min="6349" max="6357" width="9.140625" style="12" customWidth="1"/>
    <col min="6358" max="6358" width="0.42578125" style="12" customWidth="1"/>
    <col min="6359" max="6363" width="1" style="12" customWidth="1"/>
    <col min="6364" max="6364" width="0.85546875" style="12" customWidth="1"/>
    <col min="6365" max="6374" width="1" style="12" customWidth="1"/>
    <col min="6375" max="6375" width="1.28515625" style="12" customWidth="1"/>
    <col min="6376" max="6384" width="9.140625" style="12" customWidth="1"/>
    <col min="6385" max="6385" width="0.42578125" style="12" customWidth="1"/>
    <col min="6386" max="6388" width="9.140625" style="12" customWidth="1"/>
    <col min="6389" max="6389" width="1.140625" style="12" customWidth="1"/>
    <col min="6390" max="6392" width="9.140625" style="12" customWidth="1"/>
    <col min="6393" max="6393" width="1" style="12" customWidth="1"/>
    <col min="6394" max="6396" width="9.140625" style="12" customWidth="1"/>
    <col min="6397" max="6397" width="1.140625" style="12" customWidth="1"/>
    <col min="6398" max="6400" width="9.140625" style="12" customWidth="1"/>
    <col min="6401" max="6401" width="1.140625" style="12" customWidth="1"/>
    <col min="6402" max="6402" width="1.28515625" style="12" customWidth="1"/>
    <col min="6403" max="6411" width="9.140625" style="12" customWidth="1"/>
    <col min="6412" max="6544" width="9.140625" style="12"/>
    <col min="6545" max="6545" width="9.140625" style="12" customWidth="1"/>
    <col min="6546" max="6546" width="0.7109375" style="12" customWidth="1"/>
    <col min="6547" max="6547" width="0.85546875" style="12" customWidth="1"/>
    <col min="6548" max="6550" width="9.140625" style="12" customWidth="1"/>
    <col min="6551" max="6551" width="5.5703125" style="12" customWidth="1"/>
    <col min="6552" max="6552" width="2" style="12" customWidth="1"/>
    <col min="6553" max="6553" width="1.5703125" style="12" customWidth="1"/>
    <col min="6554" max="6586" width="9.140625" style="12" customWidth="1"/>
    <col min="6587" max="6587" width="0.28515625" style="12" customWidth="1"/>
    <col min="6588" max="6590" width="9.140625" style="12" customWidth="1"/>
    <col min="6591" max="6591" width="1" style="12" customWidth="1"/>
    <col min="6592" max="6594" width="9.140625" style="12" customWidth="1"/>
    <col min="6595" max="6595" width="1" style="12" customWidth="1"/>
    <col min="6596" max="6598" width="9.140625" style="12" customWidth="1"/>
    <col min="6599" max="6599" width="1" style="12" customWidth="1"/>
    <col min="6600" max="6602" width="9.140625" style="12" customWidth="1"/>
    <col min="6603" max="6603" width="1" style="12" customWidth="1"/>
    <col min="6604" max="6604" width="1.28515625" style="12" customWidth="1"/>
    <col min="6605" max="6613" width="9.140625" style="12" customWidth="1"/>
    <col min="6614" max="6614" width="0.42578125" style="12" customWidth="1"/>
    <col min="6615" max="6619" width="1" style="12" customWidth="1"/>
    <col min="6620" max="6620" width="0.85546875" style="12" customWidth="1"/>
    <col min="6621" max="6630" width="1" style="12" customWidth="1"/>
    <col min="6631" max="6631" width="1.28515625" style="12" customWidth="1"/>
    <col min="6632" max="6640" width="9.140625" style="12" customWidth="1"/>
    <col min="6641" max="6641" width="0.42578125" style="12" customWidth="1"/>
    <col min="6642" max="6644" width="9.140625" style="12" customWidth="1"/>
    <col min="6645" max="6645" width="1.140625" style="12" customWidth="1"/>
    <col min="6646" max="6648" width="9.140625" style="12" customWidth="1"/>
    <col min="6649" max="6649" width="1" style="12" customWidth="1"/>
    <col min="6650" max="6652" width="9.140625" style="12" customWidth="1"/>
    <col min="6653" max="6653" width="1.140625" style="12" customWidth="1"/>
    <col min="6654" max="6656" width="9.140625" style="12" customWidth="1"/>
    <col min="6657" max="6657" width="1.140625" style="12" customWidth="1"/>
    <col min="6658" max="6658" width="1.28515625" style="12" customWidth="1"/>
    <col min="6659" max="6667" width="9.140625" style="12" customWidth="1"/>
    <col min="6668" max="6800" width="9.140625" style="12"/>
    <col min="6801" max="6801" width="9.140625" style="12" customWidth="1"/>
    <col min="6802" max="6802" width="0.7109375" style="12" customWidth="1"/>
    <col min="6803" max="6803" width="0.85546875" style="12" customWidth="1"/>
    <col min="6804" max="6806" width="9.140625" style="12" customWidth="1"/>
    <col min="6807" max="6807" width="5.5703125" style="12" customWidth="1"/>
    <col min="6808" max="6808" width="2" style="12" customWidth="1"/>
    <col min="6809" max="6809" width="1.5703125" style="12" customWidth="1"/>
    <col min="6810" max="6842" width="9.140625" style="12" customWidth="1"/>
    <col min="6843" max="6843" width="0.28515625" style="12" customWidth="1"/>
    <col min="6844" max="6846" width="9.140625" style="12" customWidth="1"/>
    <col min="6847" max="6847" width="1" style="12" customWidth="1"/>
    <col min="6848" max="6850" width="9.140625" style="12" customWidth="1"/>
    <col min="6851" max="6851" width="1" style="12" customWidth="1"/>
    <col min="6852" max="6854" width="9.140625" style="12" customWidth="1"/>
    <col min="6855" max="6855" width="1" style="12" customWidth="1"/>
    <col min="6856" max="6858" width="9.140625" style="12" customWidth="1"/>
    <col min="6859" max="6859" width="1" style="12" customWidth="1"/>
    <col min="6860" max="6860" width="1.28515625" style="12" customWidth="1"/>
    <col min="6861" max="6869" width="9.140625" style="12" customWidth="1"/>
    <col min="6870" max="6870" width="0.42578125" style="12" customWidth="1"/>
    <col min="6871" max="6875" width="1" style="12" customWidth="1"/>
    <col min="6876" max="6876" width="0.85546875" style="12" customWidth="1"/>
    <col min="6877" max="6886" width="1" style="12" customWidth="1"/>
    <col min="6887" max="6887" width="1.28515625" style="12" customWidth="1"/>
    <col min="6888" max="6896" width="9.140625" style="12" customWidth="1"/>
    <col min="6897" max="6897" width="0.42578125" style="12" customWidth="1"/>
    <col min="6898" max="6900" width="9.140625" style="12" customWidth="1"/>
    <col min="6901" max="6901" width="1.140625" style="12" customWidth="1"/>
    <col min="6902" max="6904" width="9.140625" style="12" customWidth="1"/>
    <col min="6905" max="6905" width="1" style="12" customWidth="1"/>
    <col min="6906" max="6908" width="9.140625" style="12" customWidth="1"/>
    <col min="6909" max="6909" width="1.140625" style="12" customWidth="1"/>
    <col min="6910" max="6912" width="9.140625" style="12" customWidth="1"/>
    <col min="6913" max="6913" width="1.140625" style="12" customWidth="1"/>
    <col min="6914" max="6914" width="1.28515625" style="12" customWidth="1"/>
    <col min="6915" max="6923" width="9.140625" style="12" customWidth="1"/>
    <col min="6924" max="7056" width="9.140625" style="12"/>
    <col min="7057" max="7057" width="9.140625" style="12" customWidth="1"/>
    <col min="7058" max="7058" width="0.7109375" style="12" customWidth="1"/>
    <col min="7059" max="7059" width="0.85546875" style="12" customWidth="1"/>
    <col min="7060" max="7062" width="9.140625" style="12" customWidth="1"/>
    <col min="7063" max="7063" width="5.5703125" style="12" customWidth="1"/>
    <col min="7064" max="7064" width="2" style="12" customWidth="1"/>
    <col min="7065" max="7065" width="1.5703125" style="12" customWidth="1"/>
    <col min="7066" max="7098" width="9.140625" style="12" customWidth="1"/>
    <col min="7099" max="7099" width="0.28515625" style="12" customWidth="1"/>
    <col min="7100" max="7102" width="9.140625" style="12" customWidth="1"/>
    <col min="7103" max="7103" width="1" style="12" customWidth="1"/>
    <col min="7104" max="7106" width="9.140625" style="12" customWidth="1"/>
    <col min="7107" max="7107" width="1" style="12" customWidth="1"/>
    <col min="7108" max="7110" width="9.140625" style="12" customWidth="1"/>
    <col min="7111" max="7111" width="1" style="12" customWidth="1"/>
    <col min="7112" max="7114" width="9.140625" style="12" customWidth="1"/>
    <col min="7115" max="7115" width="1" style="12" customWidth="1"/>
    <col min="7116" max="7116" width="1.28515625" style="12" customWidth="1"/>
    <col min="7117" max="7125" width="9.140625" style="12" customWidth="1"/>
    <col min="7126" max="7126" width="0.42578125" style="12" customWidth="1"/>
    <col min="7127" max="7131" width="1" style="12" customWidth="1"/>
    <col min="7132" max="7132" width="0.85546875" style="12" customWidth="1"/>
    <col min="7133" max="7142" width="1" style="12" customWidth="1"/>
    <col min="7143" max="7143" width="1.28515625" style="12" customWidth="1"/>
    <col min="7144" max="7152" width="9.140625" style="12" customWidth="1"/>
    <col min="7153" max="7153" width="0.42578125" style="12" customWidth="1"/>
    <col min="7154" max="7156" width="9.140625" style="12" customWidth="1"/>
    <col min="7157" max="7157" width="1.140625" style="12" customWidth="1"/>
    <col min="7158" max="7160" width="9.140625" style="12" customWidth="1"/>
    <col min="7161" max="7161" width="1" style="12" customWidth="1"/>
    <col min="7162" max="7164" width="9.140625" style="12" customWidth="1"/>
    <col min="7165" max="7165" width="1.140625" style="12" customWidth="1"/>
    <col min="7166" max="7168" width="9.140625" style="12" customWidth="1"/>
    <col min="7169" max="7169" width="1.140625" style="12" customWidth="1"/>
    <col min="7170" max="7170" width="1.28515625" style="12" customWidth="1"/>
    <col min="7171" max="7179" width="9.140625" style="12" customWidth="1"/>
    <col min="7180" max="7312" width="9.140625" style="12"/>
    <col min="7313" max="7313" width="9.140625" style="12" customWidth="1"/>
    <col min="7314" max="7314" width="0.7109375" style="12" customWidth="1"/>
    <col min="7315" max="7315" width="0.85546875" style="12" customWidth="1"/>
    <col min="7316" max="7318" width="9.140625" style="12" customWidth="1"/>
    <col min="7319" max="7319" width="5.5703125" style="12" customWidth="1"/>
    <col min="7320" max="7320" width="2" style="12" customWidth="1"/>
    <col min="7321" max="7321" width="1.5703125" style="12" customWidth="1"/>
    <col min="7322" max="7354" width="9.140625" style="12" customWidth="1"/>
    <col min="7355" max="7355" width="0.28515625" style="12" customWidth="1"/>
    <col min="7356" max="7358" width="9.140625" style="12" customWidth="1"/>
    <col min="7359" max="7359" width="1" style="12" customWidth="1"/>
    <col min="7360" max="7362" width="9.140625" style="12" customWidth="1"/>
    <col min="7363" max="7363" width="1" style="12" customWidth="1"/>
    <col min="7364" max="7366" width="9.140625" style="12" customWidth="1"/>
    <col min="7367" max="7367" width="1" style="12" customWidth="1"/>
    <col min="7368" max="7370" width="9.140625" style="12" customWidth="1"/>
    <col min="7371" max="7371" width="1" style="12" customWidth="1"/>
    <col min="7372" max="7372" width="1.28515625" style="12" customWidth="1"/>
    <col min="7373" max="7381" width="9.140625" style="12" customWidth="1"/>
    <col min="7382" max="7382" width="0.42578125" style="12" customWidth="1"/>
    <col min="7383" max="7387" width="1" style="12" customWidth="1"/>
    <col min="7388" max="7388" width="0.85546875" style="12" customWidth="1"/>
    <col min="7389" max="7398" width="1" style="12" customWidth="1"/>
    <col min="7399" max="7399" width="1.28515625" style="12" customWidth="1"/>
    <col min="7400" max="7408" width="9.140625" style="12" customWidth="1"/>
    <col min="7409" max="7409" width="0.42578125" style="12" customWidth="1"/>
    <col min="7410" max="7412" width="9.140625" style="12" customWidth="1"/>
    <col min="7413" max="7413" width="1.140625" style="12" customWidth="1"/>
    <col min="7414" max="7416" width="9.140625" style="12" customWidth="1"/>
    <col min="7417" max="7417" width="1" style="12" customWidth="1"/>
    <col min="7418" max="7420" width="9.140625" style="12" customWidth="1"/>
    <col min="7421" max="7421" width="1.140625" style="12" customWidth="1"/>
    <col min="7422" max="7424" width="9.140625" style="12" customWidth="1"/>
    <col min="7425" max="7425" width="1.140625" style="12" customWidth="1"/>
    <col min="7426" max="7426" width="1.28515625" style="12" customWidth="1"/>
    <col min="7427" max="7435" width="9.140625" style="12" customWidth="1"/>
    <col min="7436" max="7568" width="9.140625" style="12"/>
    <col min="7569" max="7569" width="9.140625" style="12" customWidth="1"/>
    <col min="7570" max="7570" width="0.7109375" style="12" customWidth="1"/>
    <col min="7571" max="7571" width="0.85546875" style="12" customWidth="1"/>
    <col min="7572" max="7574" width="9.140625" style="12" customWidth="1"/>
    <col min="7575" max="7575" width="5.5703125" style="12" customWidth="1"/>
    <col min="7576" max="7576" width="2" style="12" customWidth="1"/>
    <col min="7577" max="7577" width="1.5703125" style="12" customWidth="1"/>
    <col min="7578" max="7610" width="9.140625" style="12" customWidth="1"/>
    <col min="7611" max="7611" width="0.28515625" style="12" customWidth="1"/>
    <col min="7612" max="7614" width="9.140625" style="12" customWidth="1"/>
    <col min="7615" max="7615" width="1" style="12" customWidth="1"/>
    <col min="7616" max="7618" width="9.140625" style="12" customWidth="1"/>
    <col min="7619" max="7619" width="1" style="12" customWidth="1"/>
    <col min="7620" max="7622" width="9.140625" style="12" customWidth="1"/>
    <col min="7623" max="7623" width="1" style="12" customWidth="1"/>
    <col min="7624" max="7626" width="9.140625" style="12" customWidth="1"/>
    <col min="7627" max="7627" width="1" style="12" customWidth="1"/>
    <col min="7628" max="7628" width="1.28515625" style="12" customWidth="1"/>
    <col min="7629" max="7637" width="9.140625" style="12" customWidth="1"/>
    <col min="7638" max="7638" width="0.42578125" style="12" customWidth="1"/>
    <col min="7639" max="7643" width="1" style="12" customWidth="1"/>
    <col min="7644" max="7644" width="0.85546875" style="12" customWidth="1"/>
    <col min="7645" max="7654" width="1" style="12" customWidth="1"/>
    <col min="7655" max="7655" width="1.28515625" style="12" customWidth="1"/>
    <col min="7656" max="7664" width="9.140625" style="12" customWidth="1"/>
    <col min="7665" max="7665" width="0.42578125" style="12" customWidth="1"/>
    <col min="7666" max="7668" width="9.140625" style="12" customWidth="1"/>
    <col min="7669" max="7669" width="1.140625" style="12" customWidth="1"/>
    <col min="7670" max="7672" width="9.140625" style="12" customWidth="1"/>
    <col min="7673" max="7673" width="1" style="12" customWidth="1"/>
    <col min="7674" max="7676" width="9.140625" style="12" customWidth="1"/>
    <col min="7677" max="7677" width="1.140625" style="12" customWidth="1"/>
    <col min="7678" max="7680" width="9.140625" style="12" customWidth="1"/>
    <col min="7681" max="7681" width="1.140625" style="12" customWidth="1"/>
    <col min="7682" max="7682" width="1.28515625" style="12" customWidth="1"/>
    <col min="7683" max="7691" width="9.140625" style="12" customWidth="1"/>
    <col min="7692" max="7824" width="9.140625" style="12"/>
    <col min="7825" max="7825" width="9.140625" style="12" customWidth="1"/>
    <col min="7826" max="7826" width="0.7109375" style="12" customWidth="1"/>
    <col min="7827" max="7827" width="0.85546875" style="12" customWidth="1"/>
    <col min="7828" max="7830" width="9.140625" style="12" customWidth="1"/>
    <col min="7831" max="7831" width="5.5703125" style="12" customWidth="1"/>
    <col min="7832" max="7832" width="2" style="12" customWidth="1"/>
    <col min="7833" max="7833" width="1.5703125" style="12" customWidth="1"/>
    <col min="7834" max="7866" width="9.140625" style="12" customWidth="1"/>
    <col min="7867" max="7867" width="0.28515625" style="12" customWidth="1"/>
    <col min="7868" max="7870" width="9.140625" style="12" customWidth="1"/>
    <col min="7871" max="7871" width="1" style="12" customWidth="1"/>
    <col min="7872" max="7874" width="9.140625" style="12" customWidth="1"/>
    <col min="7875" max="7875" width="1" style="12" customWidth="1"/>
    <col min="7876" max="7878" width="9.140625" style="12" customWidth="1"/>
    <col min="7879" max="7879" width="1" style="12" customWidth="1"/>
    <col min="7880" max="7882" width="9.140625" style="12" customWidth="1"/>
    <col min="7883" max="7883" width="1" style="12" customWidth="1"/>
    <col min="7884" max="7884" width="1.28515625" style="12" customWidth="1"/>
    <col min="7885" max="7893" width="9.140625" style="12" customWidth="1"/>
    <col min="7894" max="7894" width="0.42578125" style="12" customWidth="1"/>
    <col min="7895" max="7899" width="1" style="12" customWidth="1"/>
    <col min="7900" max="7900" width="0.85546875" style="12" customWidth="1"/>
    <col min="7901" max="7910" width="1" style="12" customWidth="1"/>
    <col min="7911" max="7911" width="1.28515625" style="12" customWidth="1"/>
    <col min="7912" max="7920" width="9.140625" style="12" customWidth="1"/>
    <col min="7921" max="7921" width="0.42578125" style="12" customWidth="1"/>
    <col min="7922" max="7924" width="9.140625" style="12" customWidth="1"/>
    <col min="7925" max="7925" width="1.140625" style="12" customWidth="1"/>
    <col min="7926" max="7928" width="9.140625" style="12" customWidth="1"/>
    <col min="7929" max="7929" width="1" style="12" customWidth="1"/>
    <col min="7930" max="7932" width="9.140625" style="12" customWidth="1"/>
    <col min="7933" max="7933" width="1.140625" style="12" customWidth="1"/>
    <col min="7934" max="7936" width="9.140625" style="12" customWidth="1"/>
    <col min="7937" max="7937" width="1.140625" style="12" customWidth="1"/>
    <col min="7938" max="7938" width="1.28515625" style="12" customWidth="1"/>
    <col min="7939" max="7947" width="9.140625" style="12" customWidth="1"/>
    <col min="7948" max="8080" width="9.140625" style="12"/>
    <col min="8081" max="8081" width="9.140625" style="12" customWidth="1"/>
    <col min="8082" max="8082" width="0.7109375" style="12" customWidth="1"/>
    <col min="8083" max="8083" width="0.85546875" style="12" customWidth="1"/>
    <col min="8084" max="8086" width="9.140625" style="12" customWidth="1"/>
    <col min="8087" max="8087" width="5.5703125" style="12" customWidth="1"/>
    <col min="8088" max="8088" width="2" style="12" customWidth="1"/>
    <col min="8089" max="8089" width="1.5703125" style="12" customWidth="1"/>
    <col min="8090" max="8122" width="9.140625" style="12" customWidth="1"/>
    <col min="8123" max="8123" width="0.28515625" style="12" customWidth="1"/>
    <col min="8124" max="8126" width="9.140625" style="12" customWidth="1"/>
    <col min="8127" max="8127" width="1" style="12" customWidth="1"/>
    <col min="8128" max="8130" width="9.140625" style="12" customWidth="1"/>
    <col min="8131" max="8131" width="1" style="12" customWidth="1"/>
    <col min="8132" max="8134" width="9.140625" style="12" customWidth="1"/>
    <col min="8135" max="8135" width="1" style="12" customWidth="1"/>
    <col min="8136" max="8138" width="9.140625" style="12" customWidth="1"/>
    <col min="8139" max="8139" width="1" style="12" customWidth="1"/>
    <col min="8140" max="8140" width="1.28515625" style="12" customWidth="1"/>
    <col min="8141" max="8149" width="9.140625" style="12" customWidth="1"/>
    <col min="8150" max="8150" width="0.42578125" style="12" customWidth="1"/>
    <col min="8151" max="8155" width="1" style="12" customWidth="1"/>
    <col min="8156" max="8156" width="0.85546875" style="12" customWidth="1"/>
    <col min="8157" max="8166" width="1" style="12" customWidth="1"/>
    <col min="8167" max="8167" width="1.28515625" style="12" customWidth="1"/>
    <col min="8168" max="8176" width="9.140625" style="12" customWidth="1"/>
    <col min="8177" max="8177" width="0.42578125" style="12" customWidth="1"/>
    <col min="8178" max="8180" width="9.140625" style="12" customWidth="1"/>
    <col min="8181" max="8181" width="1.140625" style="12" customWidth="1"/>
    <col min="8182" max="8184" width="9.140625" style="12" customWidth="1"/>
    <col min="8185" max="8185" width="1" style="12" customWidth="1"/>
    <col min="8186" max="8188" width="9.140625" style="12" customWidth="1"/>
    <col min="8189" max="8189" width="1.140625" style="12" customWidth="1"/>
    <col min="8190" max="8192" width="9.140625" style="12" customWidth="1"/>
    <col min="8193" max="8193" width="1.140625" style="12" customWidth="1"/>
    <col min="8194" max="8194" width="1.28515625" style="12" customWidth="1"/>
    <col min="8195" max="8203" width="9.140625" style="12" customWidth="1"/>
    <col min="8204" max="8336" width="9.140625" style="12"/>
    <col min="8337" max="8337" width="9.140625" style="12" customWidth="1"/>
    <col min="8338" max="8338" width="0.7109375" style="12" customWidth="1"/>
    <col min="8339" max="8339" width="0.85546875" style="12" customWidth="1"/>
    <col min="8340" max="8342" width="9.140625" style="12" customWidth="1"/>
    <col min="8343" max="8343" width="5.5703125" style="12" customWidth="1"/>
    <col min="8344" max="8344" width="2" style="12" customWidth="1"/>
    <col min="8345" max="8345" width="1.5703125" style="12" customWidth="1"/>
    <col min="8346" max="8378" width="9.140625" style="12" customWidth="1"/>
    <col min="8379" max="8379" width="0.28515625" style="12" customWidth="1"/>
    <col min="8380" max="8382" width="9.140625" style="12" customWidth="1"/>
    <col min="8383" max="8383" width="1" style="12" customWidth="1"/>
    <col min="8384" max="8386" width="9.140625" style="12" customWidth="1"/>
    <col min="8387" max="8387" width="1" style="12" customWidth="1"/>
    <col min="8388" max="8390" width="9.140625" style="12" customWidth="1"/>
    <col min="8391" max="8391" width="1" style="12" customWidth="1"/>
    <col min="8392" max="8394" width="9.140625" style="12" customWidth="1"/>
    <col min="8395" max="8395" width="1" style="12" customWidth="1"/>
    <col min="8396" max="8396" width="1.28515625" style="12" customWidth="1"/>
    <col min="8397" max="8405" width="9.140625" style="12" customWidth="1"/>
    <col min="8406" max="8406" width="0.42578125" style="12" customWidth="1"/>
    <col min="8407" max="8411" width="1" style="12" customWidth="1"/>
    <col min="8412" max="8412" width="0.85546875" style="12" customWidth="1"/>
    <col min="8413" max="8422" width="1" style="12" customWidth="1"/>
    <col min="8423" max="8423" width="1.28515625" style="12" customWidth="1"/>
    <col min="8424" max="8432" width="9.140625" style="12" customWidth="1"/>
    <col min="8433" max="8433" width="0.42578125" style="12" customWidth="1"/>
    <col min="8434" max="8436" width="9.140625" style="12" customWidth="1"/>
    <col min="8437" max="8437" width="1.140625" style="12" customWidth="1"/>
    <col min="8438" max="8440" width="9.140625" style="12" customWidth="1"/>
    <col min="8441" max="8441" width="1" style="12" customWidth="1"/>
    <col min="8442" max="8444" width="9.140625" style="12" customWidth="1"/>
    <col min="8445" max="8445" width="1.140625" style="12" customWidth="1"/>
    <col min="8446" max="8448" width="9.140625" style="12" customWidth="1"/>
    <col min="8449" max="8449" width="1.140625" style="12" customWidth="1"/>
    <col min="8450" max="8450" width="1.28515625" style="12" customWidth="1"/>
    <col min="8451" max="8459" width="9.140625" style="12" customWidth="1"/>
    <col min="8460" max="8592" width="9.140625" style="12"/>
    <col min="8593" max="8593" width="9.140625" style="12" customWidth="1"/>
    <col min="8594" max="8594" width="0.7109375" style="12" customWidth="1"/>
    <col min="8595" max="8595" width="0.85546875" style="12" customWidth="1"/>
    <col min="8596" max="8598" width="9.140625" style="12" customWidth="1"/>
    <col min="8599" max="8599" width="5.5703125" style="12" customWidth="1"/>
    <col min="8600" max="8600" width="2" style="12" customWidth="1"/>
    <col min="8601" max="8601" width="1.5703125" style="12" customWidth="1"/>
    <col min="8602" max="8634" width="9.140625" style="12" customWidth="1"/>
    <col min="8635" max="8635" width="0.28515625" style="12" customWidth="1"/>
    <col min="8636" max="8638" width="9.140625" style="12" customWidth="1"/>
    <col min="8639" max="8639" width="1" style="12" customWidth="1"/>
    <col min="8640" max="8642" width="9.140625" style="12" customWidth="1"/>
    <col min="8643" max="8643" width="1" style="12" customWidth="1"/>
    <col min="8644" max="8646" width="9.140625" style="12" customWidth="1"/>
    <col min="8647" max="8647" width="1" style="12" customWidth="1"/>
    <col min="8648" max="8650" width="9.140625" style="12" customWidth="1"/>
    <col min="8651" max="8651" width="1" style="12" customWidth="1"/>
    <col min="8652" max="8652" width="1.28515625" style="12" customWidth="1"/>
    <col min="8653" max="8661" width="9.140625" style="12" customWidth="1"/>
    <col min="8662" max="8662" width="0.42578125" style="12" customWidth="1"/>
    <col min="8663" max="8667" width="1" style="12" customWidth="1"/>
    <col min="8668" max="8668" width="0.85546875" style="12" customWidth="1"/>
    <col min="8669" max="8678" width="1" style="12" customWidth="1"/>
    <col min="8679" max="8679" width="1.28515625" style="12" customWidth="1"/>
    <col min="8680" max="8688" width="9.140625" style="12" customWidth="1"/>
    <col min="8689" max="8689" width="0.42578125" style="12" customWidth="1"/>
    <col min="8690" max="8692" width="9.140625" style="12" customWidth="1"/>
    <col min="8693" max="8693" width="1.140625" style="12" customWidth="1"/>
    <col min="8694" max="8696" width="9.140625" style="12" customWidth="1"/>
    <col min="8697" max="8697" width="1" style="12" customWidth="1"/>
    <col min="8698" max="8700" width="9.140625" style="12" customWidth="1"/>
    <col min="8701" max="8701" width="1.140625" style="12" customWidth="1"/>
    <col min="8702" max="8704" width="9.140625" style="12" customWidth="1"/>
    <col min="8705" max="8705" width="1.140625" style="12" customWidth="1"/>
    <col min="8706" max="8706" width="1.28515625" style="12" customWidth="1"/>
    <col min="8707" max="8715" width="9.140625" style="12" customWidth="1"/>
    <col min="8716" max="8848" width="9.140625" style="12"/>
    <col min="8849" max="8849" width="9.140625" style="12" customWidth="1"/>
    <col min="8850" max="8850" width="0.7109375" style="12" customWidth="1"/>
    <col min="8851" max="8851" width="0.85546875" style="12" customWidth="1"/>
    <col min="8852" max="8854" width="9.140625" style="12" customWidth="1"/>
    <col min="8855" max="8855" width="5.5703125" style="12" customWidth="1"/>
    <col min="8856" max="8856" width="2" style="12" customWidth="1"/>
    <col min="8857" max="8857" width="1.5703125" style="12" customWidth="1"/>
    <col min="8858" max="8890" width="9.140625" style="12" customWidth="1"/>
    <col min="8891" max="8891" width="0.28515625" style="12" customWidth="1"/>
    <col min="8892" max="8894" width="9.140625" style="12" customWidth="1"/>
    <col min="8895" max="8895" width="1" style="12" customWidth="1"/>
    <col min="8896" max="8898" width="9.140625" style="12" customWidth="1"/>
    <col min="8899" max="8899" width="1" style="12" customWidth="1"/>
    <col min="8900" max="8902" width="9.140625" style="12" customWidth="1"/>
    <col min="8903" max="8903" width="1" style="12" customWidth="1"/>
    <col min="8904" max="8906" width="9.140625" style="12" customWidth="1"/>
    <col min="8907" max="8907" width="1" style="12" customWidth="1"/>
    <col min="8908" max="8908" width="1.28515625" style="12" customWidth="1"/>
    <col min="8909" max="8917" width="9.140625" style="12" customWidth="1"/>
    <col min="8918" max="8918" width="0.42578125" style="12" customWidth="1"/>
    <col min="8919" max="8923" width="1" style="12" customWidth="1"/>
    <col min="8924" max="8924" width="0.85546875" style="12" customWidth="1"/>
    <col min="8925" max="8934" width="1" style="12" customWidth="1"/>
    <col min="8935" max="8935" width="1.28515625" style="12" customWidth="1"/>
    <col min="8936" max="8944" width="9.140625" style="12" customWidth="1"/>
    <col min="8945" max="8945" width="0.42578125" style="12" customWidth="1"/>
    <col min="8946" max="8948" width="9.140625" style="12" customWidth="1"/>
    <col min="8949" max="8949" width="1.140625" style="12" customWidth="1"/>
    <col min="8950" max="8952" width="9.140625" style="12" customWidth="1"/>
    <col min="8953" max="8953" width="1" style="12" customWidth="1"/>
    <col min="8954" max="8956" width="9.140625" style="12" customWidth="1"/>
    <col min="8957" max="8957" width="1.140625" style="12" customWidth="1"/>
    <col min="8958" max="8960" width="9.140625" style="12" customWidth="1"/>
    <col min="8961" max="8961" width="1.140625" style="12" customWidth="1"/>
    <col min="8962" max="8962" width="1.28515625" style="12" customWidth="1"/>
    <col min="8963" max="8971" width="9.140625" style="12" customWidth="1"/>
    <col min="8972" max="9104" width="9.140625" style="12"/>
    <col min="9105" max="9105" width="9.140625" style="12" customWidth="1"/>
    <col min="9106" max="9106" width="0.7109375" style="12" customWidth="1"/>
    <col min="9107" max="9107" width="0.85546875" style="12" customWidth="1"/>
    <col min="9108" max="9110" width="9.140625" style="12" customWidth="1"/>
    <col min="9111" max="9111" width="5.5703125" style="12" customWidth="1"/>
    <col min="9112" max="9112" width="2" style="12" customWidth="1"/>
    <col min="9113" max="9113" width="1.5703125" style="12" customWidth="1"/>
    <col min="9114" max="9146" width="9.140625" style="12" customWidth="1"/>
    <col min="9147" max="9147" width="0.28515625" style="12" customWidth="1"/>
    <col min="9148" max="9150" width="9.140625" style="12" customWidth="1"/>
    <col min="9151" max="9151" width="1" style="12" customWidth="1"/>
    <col min="9152" max="9154" width="9.140625" style="12" customWidth="1"/>
    <col min="9155" max="9155" width="1" style="12" customWidth="1"/>
    <col min="9156" max="9158" width="9.140625" style="12" customWidth="1"/>
    <col min="9159" max="9159" width="1" style="12" customWidth="1"/>
    <col min="9160" max="9162" width="9.140625" style="12" customWidth="1"/>
    <col min="9163" max="9163" width="1" style="12" customWidth="1"/>
    <col min="9164" max="9164" width="1.28515625" style="12" customWidth="1"/>
    <col min="9165" max="9173" width="9.140625" style="12" customWidth="1"/>
    <col min="9174" max="9174" width="0.42578125" style="12" customWidth="1"/>
    <col min="9175" max="9179" width="1" style="12" customWidth="1"/>
    <col min="9180" max="9180" width="0.85546875" style="12" customWidth="1"/>
    <col min="9181" max="9190" width="1" style="12" customWidth="1"/>
    <col min="9191" max="9191" width="1.28515625" style="12" customWidth="1"/>
    <col min="9192" max="9200" width="9.140625" style="12" customWidth="1"/>
    <col min="9201" max="9201" width="0.42578125" style="12" customWidth="1"/>
    <col min="9202" max="9204" width="9.140625" style="12" customWidth="1"/>
    <col min="9205" max="9205" width="1.140625" style="12" customWidth="1"/>
    <col min="9206" max="9208" width="9.140625" style="12" customWidth="1"/>
    <col min="9209" max="9209" width="1" style="12" customWidth="1"/>
    <col min="9210" max="9212" width="9.140625" style="12" customWidth="1"/>
    <col min="9213" max="9213" width="1.140625" style="12" customWidth="1"/>
    <col min="9214" max="9216" width="9.140625" style="12" customWidth="1"/>
    <col min="9217" max="9217" width="1.140625" style="12" customWidth="1"/>
    <col min="9218" max="9218" width="1.28515625" style="12" customWidth="1"/>
    <col min="9219" max="9227" width="9.140625" style="12" customWidth="1"/>
    <col min="9228" max="9360" width="9.140625" style="12"/>
    <col min="9361" max="9361" width="9.140625" style="12" customWidth="1"/>
    <col min="9362" max="9362" width="0.7109375" style="12" customWidth="1"/>
    <col min="9363" max="9363" width="0.85546875" style="12" customWidth="1"/>
    <col min="9364" max="9366" width="9.140625" style="12" customWidth="1"/>
    <col min="9367" max="9367" width="5.5703125" style="12" customWidth="1"/>
    <col min="9368" max="9368" width="2" style="12" customWidth="1"/>
    <col min="9369" max="9369" width="1.5703125" style="12" customWidth="1"/>
    <col min="9370" max="9402" width="9.140625" style="12" customWidth="1"/>
    <col min="9403" max="9403" width="0.28515625" style="12" customWidth="1"/>
    <col min="9404" max="9406" width="9.140625" style="12" customWidth="1"/>
    <col min="9407" max="9407" width="1" style="12" customWidth="1"/>
    <col min="9408" max="9410" width="9.140625" style="12" customWidth="1"/>
    <col min="9411" max="9411" width="1" style="12" customWidth="1"/>
    <col min="9412" max="9414" width="9.140625" style="12" customWidth="1"/>
    <col min="9415" max="9415" width="1" style="12" customWidth="1"/>
    <col min="9416" max="9418" width="9.140625" style="12" customWidth="1"/>
    <col min="9419" max="9419" width="1" style="12" customWidth="1"/>
    <col min="9420" max="9420" width="1.28515625" style="12" customWidth="1"/>
    <col min="9421" max="9429" width="9.140625" style="12" customWidth="1"/>
    <col min="9430" max="9430" width="0.42578125" style="12" customWidth="1"/>
    <col min="9431" max="9435" width="1" style="12" customWidth="1"/>
    <col min="9436" max="9436" width="0.85546875" style="12" customWidth="1"/>
    <col min="9437" max="9446" width="1" style="12" customWidth="1"/>
    <col min="9447" max="9447" width="1.28515625" style="12" customWidth="1"/>
    <col min="9448" max="9456" width="9.140625" style="12" customWidth="1"/>
    <col min="9457" max="9457" width="0.42578125" style="12" customWidth="1"/>
    <col min="9458" max="9460" width="9.140625" style="12" customWidth="1"/>
    <col min="9461" max="9461" width="1.140625" style="12" customWidth="1"/>
    <col min="9462" max="9464" width="9.140625" style="12" customWidth="1"/>
    <col min="9465" max="9465" width="1" style="12" customWidth="1"/>
    <col min="9466" max="9468" width="9.140625" style="12" customWidth="1"/>
    <col min="9469" max="9469" width="1.140625" style="12" customWidth="1"/>
    <col min="9470" max="9472" width="9.140625" style="12" customWidth="1"/>
    <col min="9473" max="9473" width="1.140625" style="12" customWidth="1"/>
    <col min="9474" max="9474" width="1.28515625" style="12" customWidth="1"/>
    <col min="9475" max="9483" width="9.140625" style="12" customWidth="1"/>
    <col min="9484" max="9616" width="9.140625" style="12"/>
    <col min="9617" max="9617" width="9.140625" style="12" customWidth="1"/>
    <col min="9618" max="9618" width="0.7109375" style="12" customWidth="1"/>
    <col min="9619" max="9619" width="0.85546875" style="12" customWidth="1"/>
    <col min="9620" max="9622" width="9.140625" style="12" customWidth="1"/>
    <col min="9623" max="9623" width="5.5703125" style="12" customWidth="1"/>
    <col min="9624" max="9624" width="2" style="12" customWidth="1"/>
    <col min="9625" max="9625" width="1.5703125" style="12" customWidth="1"/>
    <col min="9626" max="9658" width="9.140625" style="12" customWidth="1"/>
    <col min="9659" max="9659" width="0.28515625" style="12" customWidth="1"/>
    <col min="9660" max="9662" width="9.140625" style="12" customWidth="1"/>
    <col min="9663" max="9663" width="1" style="12" customWidth="1"/>
    <col min="9664" max="9666" width="9.140625" style="12" customWidth="1"/>
    <col min="9667" max="9667" width="1" style="12" customWidth="1"/>
    <col min="9668" max="9670" width="9.140625" style="12" customWidth="1"/>
    <col min="9671" max="9671" width="1" style="12" customWidth="1"/>
    <col min="9672" max="9674" width="9.140625" style="12" customWidth="1"/>
    <col min="9675" max="9675" width="1" style="12" customWidth="1"/>
    <col min="9676" max="9676" width="1.28515625" style="12" customWidth="1"/>
    <col min="9677" max="9685" width="9.140625" style="12" customWidth="1"/>
    <col min="9686" max="9686" width="0.42578125" style="12" customWidth="1"/>
    <col min="9687" max="9691" width="1" style="12" customWidth="1"/>
    <col min="9692" max="9692" width="0.85546875" style="12" customWidth="1"/>
    <col min="9693" max="9702" width="1" style="12" customWidth="1"/>
    <col min="9703" max="9703" width="1.28515625" style="12" customWidth="1"/>
    <col min="9704" max="9712" width="9.140625" style="12" customWidth="1"/>
    <col min="9713" max="9713" width="0.42578125" style="12" customWidth="1"/>
    <col min="9714" max="9716" width="9.140625" style="12" customWidth="1"/>
    <col min="9717" max="9717" width="1.140625" style="12" customWidth="1"/>
    <col min="9718" max="9720" width="9.140625" style="12" customWidth="1"/>
    <col min="9721" max="9721" width="1" style="12" customWidth="1"/>
    <col min="9722" max="9724" width="9.140625" style="12" customWidth="1"/>
    <col min="9725" max="9725" width="1.140625" style="12" customWidth="1"/>
    <col min="9726" max="9728" width="9.140625" style="12" customWidth="1"/>
    <col min="9729" max="9729" width="1.140625" style="12" customWidth="1"/>
    <col min="9730" max="9730" width="1.28515625" style="12" customWidth="1"/>
    <col min="9731" max="9739" width="9.140625" style="12" customWidth="1"/>
    <col min="9740" max="9872" width="9.140625" style="12"/>
    <col min="9873" max="9873" width="9.140625" style="12" customWidth="1"/>
    <col min="9874" max="9874" width="0.7109375" style="12" customWidth="1"/>
    <col min="9875" max="9875" width="0.85546875" style="12" customWidth="1"/>
    <col min="9876" max="9878" width="9.140625" style="12" customWidth="1"/>
    <col min="9879" max="9879" width="5.5703125" style="12" customWidth="1"/>
    <col min="9880" max="9880" width="2" style="12" customWidth="1"/>
    <col min="9881" max="9881" width="1.5703125" style="12" customWidth="1"/>
    <col min="9882" max="9914" width="9.140625" style="12" customWidth="1"/>
    <col min="9915" max="9915" width="0.28515625" style="12" customWidth="1"/>
    <col min="9916" max="9918" width="9.140625" style="12" customWidth="1"/>
    <col min="9919" max="9919" width="1" style="12" customWidth="1"/>
    <col min="9920" max="9922" width="9.140625" style="12" customWidth="1"/>
    <col min="9923" max="9923" width="1" style="12" customWidth="1"/>
    <col min="9924" max="9926" width="9.140625" style="12" customWidth="1"/>
    <col min="9927" max="9927" width="1" style="12" customWidth="1"/>
    <col min="9928" max="9930" width="9.140625" style="12" customWidth="1"/>
    <col min="9931" max="9931" width="1" style="12" customWidth="1"/>
    <col min="9932" max="9932" width="1.28515625" style="12" customWidth="1"/>
    <col min="9933" max="9941" width="9.140625" style="12" customWidth="1"/>
    <col min="9942" max="9942" width="0.42578125" style="12" customWidth="1"/>
    <col min="9943" max="9947" width="1" style="12" customWidth="1"/>
    <col min="9948" max="9948" width="0.85546875" style="12" customWidth="1"/>
    <col min="9949" max="9958" width="1" style="12" customWidth="1"/>
    <col min="9959" max="9959" width="1.28515625" style="12" customWidth="1"/>
    <col min="9960" max="9968" width="9.140625" style="12" customWidth="1"/>
    <col min="9969" max="9969" width="0.42578125" style="12" customWidth="1"/>
    <col min="9970" max="9972" width="9.140625" style="12" customWidth="1"/>
    <col min="9973" max="9973" width="1.140625" style="12" customWidth="1"/>
    <col min="9974" max="9976" width="9.140625" style="12" customWidth="1"/>
    <col min="9977" max="9977" width="1" style="12" customWidth="1"/>
    <col min="9978" max="9980" width="9.140625" style="12" customWidth="1"/>
    <col min="9981" max="9981" width="1.140625" style="12" customWidth="1"/>
    <col min="9982" max="9984" width="9.140625" style="12" customWidth="1"/>
    <col min="9985" max="9985" width="1.140625" style="12" customWidth="1"/>
    <col min="9986" max="9986" width="1.28515625" style="12" customWidth="1"/>
    <col min="9987" max="9995" width="9.140625" style="12" customWidth="1"/>
    <col min="9996" max="10128" width="9.140625" style="12"/>
    <col min="10129" max="10129" width="9.140625" style="12" customWidth="1"/>
    <col min="10130" max="10130" width="0.7109375" style="12" customWidth="1"/>
    <col min="10131" max="10131" width="0.85546875" style="12" customWidth="1"/>
    <col min="10132" max="10134" width="9.140625" style="12" customWidth="1"/>
    <col min="10135" max="10135" width="5.5703125" style="12" customWidth="1"/>
    <col min="10136" max="10136" width="2" style="12" customWidth="1"/>
    <col min="10137" max="10137" width="1.5703125" style="12" customWidth="1"/>
    <col min="10138" max="10170" width="9.140625" style="12" customWidth="1"/>
    <col min="10171" max="10171" width="0.28515625" style="12" customWidth="1"/>
    <col min="10172" max="10174" width="9.140625" style="12" customWidth="1"/>
    <col min="10175" max="10175" width="1" style="12" customWidth="1"/>
    <col min="10176" max="10178" width="9.140625" style="12" customWidth="1"/>
    <col min="10179" max="10179" width="1" style="12" customWidth="1"/>
    <col min="10180" max="10182" width="9.140625" style="12" customWidth="1"/>
    <col min="10183" max="10183" width="1" style="12" customWidth="1"/>
    <col min="10184" max="10186" width="9.140625" style="12" customWidth="1"/>
    <col min="10187" max="10187" width="1" style="12" customWidth="1"/>
    <col min="10188" max="10188" width="1.28515625" style="12" customWidth="1"/>
    <col min="10189" max="10197" width="9.140625" style="12" customWidth="1"/>
    <col min="10198" max="10198" width="0.42578125" style="12" customWidth="1"/>
    <col min="10199" max="10203" width="1" style="12" customWidth="1"/>
    <col min="10204" max="10204" width="0.85546875" style="12" customWidth="1"/>
    <col min="10205" max="10214" width="1" style="12" customWidth="1"/>
    <col min="10215" max="10215" width="1.28515625" style="12" customWidth="1"/>
    <col min="10216" max="10224" width="9.140625" style="12" customWidth="1"/>
    <col min="10225" max="10225" width="0.42578125" style="12" customWidth="1"/>
    <col min="10226" max="10228" width="9.140625" style="12" customWidth="1"/>
    <col min="10229" max="10229" width="1.140625" style="12" customWidth="1"/>
    <col min="10230" max="10232" width="9.140625" style="12" customWidth="1"/>
    <col min="10233" max="10233" width="1" style="12" customWidth="1"/>
    <col min="10234" max="10236" width="9.140625" style="12" customWidth="1"/>
    <col min="10237" max="10237" width="1.140625" style="12" customWidth="1"/>
    <col min="10238" max="10240" width="9.140625" style="12" customWidth="1"/>
    <col min="10241" max="10241" width="1.140625" style="12" customWidth="1"/>
    <col min="10242" max="10242" width="1.28515625" style="12" customWidth="1"/>
    <col min="10243" max="10251" width="9.140625" style="12" customWidth="1"/>
    <col min="10252" max="10384" width="9.140625" style="12"/>
    <col min="10385" max="10385" width="9.140625" style="12" customWidth="1"/>
    <col min="10386" max="10386" width="0.7109375" style="12" customWidth="1"/>
    <col min="10387" max="10387" width="0.85546875" style="12" customWidth="1"/>
    <col min="10388" max="10390" width="9.140625" style="12" customWidth="1"/>
    <col min="10391" max="10391" width="5.5703125" style="12" customWidth="1"/>
    <col min="10392" max="10392" width="2" style="12" customWidth="1"/>
    <col min="10393" max="10393" width="1.5703125" style="12" customWidth="1"/>
    <col min="10394" max="10426" width="9.140625" style="12" customWidth="1"/>
    <col min="10427" max="10427" width="0.28515625" style="12" customWidth="1"/>
    <col min="10428" max="10430" width="9.140625" style="12" customWidth="1"/>
    <col min="10431" max="10431" width="1" style="12" customWidth="1"/>
    <col min="10432" max="10434" width="9.140625" style="12" customWidth="1"/>
    <col min="10435" max="10435" width="1" style="12" customWidth="1"/>
    <col min="10436" max="10438" width="9.140625" style="12" customWidth="1"/>
    <col min="10439" max="10439" width="1" style="12" customWidth="1"/>
    <col min="10440" max="10442" width="9.140625" style="12" customWidth="1"/>
    <col min="10443" max="10443" width="1" style="12" customWidth="1"/>
    <col min="10444" max="10444" width="1.28515625" style="12" customWidth="1"/>
    <col min="10445" max="10453" width="9.140625" style="12" customWidth="1"/>
    <col min="10454" max="10454" width="0.42578125" style="12" customWidth="1"/>
    <col min="10455" max="10459" width="1" style="12" customWidth="1"/>
    <col min="10460" max="10460" width="0.85546875" style="12" customWidth="1"/>
    <col min="10461" max="10470" width="1" style="12" customWidth="1"/>
    <col min="10471" max="10471" width="1.28515625" style="12" customWidth="1"/>
    <col min="10472" max="10480" width="9.140625" style="12" customWidth="1"/>
    <col min="10481" max="10481" width="0.42578125" style="12" customWidth="1"/>
    <col min="10482" max="10484" width="9.140625" style="12" customWidth="1"/>
    <col min="10485" max="10485" width="1.140625" style="12" customWidth="1"/>
    <col min="10486" max="10488" width="9.140625" style="12" customWidth="1"/>
    <col min="10489" max="10489" width="1" style="12" customWidth="1"/>
    <col min="10490" max="10492" width="9.140625" style="12" customWidth="1"/>
    <col min="10493" max="10493" width="1.140625" style="12" customWidth="1"/>
    <col min="10494" max="10496" width="9.140625" style="12" customWidth="1"/>
    <col min="10497" max="10497" width="1.140625" style="12" customWidth="1"/>
    <col min="10498" max="10498" width="1.28515625" style="12" customWidth="1"/>
    <col min="10499" max="10507" width="9.140625" style="12" customWidth="1"/>
    <col min="10508" max="10640" width="9.140625" style="12"/>
    <col min="10641" max="10641" width="9.140625" style="12" customWidth="1"/>
    <col min="10642" max="10642" width="0.7109375" style="12" customWidth="1"/>
    <col min="10643" max="10643" width="0.85546875" style="12" customWidth="1"/>
    <col min="10644" max="10646" width="9.140625" style="12" customWidth="1"/>
    <col min="10647" max="10647" width="5.5703125" style="12" customWidth="1"/>
    <col min="10648" max="10648" width="2" style="12" customWidth="1"/>
    <col min="10649" max="10649" width="1.5703125" style="12" customWidth="1"/>
    <col min="10650" max="10682" width="9.140625" style="12" customWidth="1"/>
    <col min="10683" max="10683" width="0.28515625" style="12" customWidth="1"/>
    <col min="10684" max="10686" width="9.140625" style="12" customWidth="1"/>
    <col min="10687" max="10687" width="1" style="12" customWidth="1"/>
    <col min="10688" max="10690" width="9.140625" style="12" customWidth="1"/>
    <col min="10691" max="10691" width="1" style="12" customWidth="1"/>
    <col min="10692" max="10694" width="9.140625" style="12" customWidth="1"/>
    <col min="10695" max="10695" width="1" style="12" customWidth="1"/>
    <col min="10696" max="10698" width="9.140625" style="12" customWidth="1"/>
    <col min="10699" max="10699" width="1" style="12" customWidth="1"/>
    <col min="10700" max="10700" width="1.28515625" style="12" customWidth="1"/>
    <col min="10701" max="10709" width="9.140625" style="12" customWidth="1"/>
    <col min="10710" max="10710" width="0.42578125" style="12" customWidth="1"/>
    <col min="10711" max="10715" width="1" style="12" customWidth="1"/>
    <col min="10716" max="10716" width="0.85546875" style="12" customWidth="1"/>
    <col min="10717" max="10726" width="1" style="12" customWidth="1"/>
    <col min="10727" max="10727" width="1.28515625" style="12" customWidth="1"/>
    <col min="10728" max="10736" width="9.140625" style="12" customWidth="1"/>
    <col min="10737" max="10737" width="0.42578125" style="12" customWidth="1"/>
    <col min="10738" max="10740" width="9.140625" style="12" customWidth="1"/>
    <col min="10741" max="10741" width="1.140625" style="12" customWidth="1"/>
    <col min="10742" max="10744" width="9.140625" style="12" customWidth="1"/>
    <col min="10745" max="10745" width="1" style="12" customWidth="1"/>
    <col min="10746" max="10748" width="9.140625" style="12" customWidth="1"/>
    <col min="10749" max="10749" width="1.140625" style="12" customWidth="1"/>
    <col min="10750" max="10752" width="9.140625" style="12" customWidth="1"/>
    <col min="10753" max="10753" width="1.140625" style="12" customWidth="1"/>
    <col min="10754" max="10754" width="1.28515625" style="12" customWidth="1"/>
    <col min="10755" max="10763" width="9.140625" style="12" customWidth="1"/>
    <col min="10764" max="10896" width="9.140625" style="12"/>
    <col min="10897" max="10897" width="9.140625" style="12" customWidth="1"/>
    <col min="10898" max="10898" width="0.7109375" style="12" customWidth="1"/>
    <col min="10899" max="10899" width="0.85546875" style="12" customWidth="1"/>
    <col min="10900" max="10902" width="9.140625" style="12" customWidth="1"/>
    <col min="10903" max="10903" width="5.5703125" style="12" customWidth="1"/>
    <col min="10904" max="10904" width="2" style="12" customWidth="1"/>
    <col min="10905" max="10905" width="1.5703125" style="12" customWidth="1"/>
    <col min="10906" max="10938" width="9.140625" style="12" customWidth="1"/>
    <col min="10939" max="10939" width="0.28515625" style="12" customWidth="1"/>
    <col min="10940" max="10942" width="9.140625" style="12" customWidth="1"/>
    <col min="10943" max="10943" width="1" style="12" customWidth="1"/>
    <col min="10944" max="10946" width="9.140625" style="12" customWidth="1"/>
    <col min="10947" max="10947" width="1" style="12" customWidth="1"/>
    <col min="10948" max="10950" width="9.140625" style="12" customWidth="1"/>
    <col min="10951" max="10951" width="1" style="12" customWidth="1"/>
    <col min="10952" max="10954" width="9.140625" style="12" customWidth="1"/>
    <col min="10955" max="10955" width="1" style="12" customWidth="1"/>
    <col min="10956" max="10956" width="1.28515625" style="12" customWidth="1"/>
    <col min="10957" max="10965" width="9.140625" style="12" customWidth="1"/>
    <col min="10966" max="10966" width="0.42578125" style="12" customWidth="1"/>
    <col min="10967" max="10971" width="1" style="12" customWidth="1"/>
    <col min="10972" max="10972" width="0.85546875" style="12" customWidth="1"/>
    <col min="10973" max="10982" width="1" style="12" customWidth="1"/>
    <col min="10983" max="10983" width="1.28515625" style="12" customWidth="1"/>
    <col min="10984" max="10992" width="9.140625" style="12" customWidth="1"/>
    <col min="10993" max="10993" width="0.42578125" style="12" customWidth="1"/>
    <col min="10994" max="10996" width="9.140625" style="12" customWidth="1"/>
    <col min="10997" max="10997" width="1.140625" style="12" customWidth="1"/>
    <col min="10998" max="11000" width="9.140625" style="12" customWidth="1"/>
    <col min="11001" max="11001" width="1" style="12" customWidth="1"/>
    <col min="11002" max="11004" width="9.140625" style="12" customWidth="1"/>
    <col min="11005" max="11005" width="1.140625" style="12" customWidth="1"/>
    <col min="11006" max="11008" width="9.140625" style="12" customWidth="1"/>
    <col min="11009" max="11009" width="1.140625" style="12" customWidth="1"/>
    <col min="11010" max="11010" width="1.28515625" style="12" customWidth="1"/>
    <col min="11011" max="11019" width="9.140625" style="12" customWidth="1"/>
    <col min="11020" max="11152" width="9.140625" style="12"/>
    <col min="11153" max="11153" width="9.140625" style="12" customWidth="1"/>
    <col min="11154" max="11154" width="0.7109375" style="12" customWidth="1"/>
    <col min="11155" max="11155" width="0.85546875" style="12" customWidth="1"/>
    <col min="11156" max="11158" width="9.140625" style="12" customWidth="1"/>
    <col min="11159" max="11159" width="5.5703125" style="12" customWidth="1"/>
    <col min="11160" max="11160" width="2" style="12" customWidth="1"/>
    <col min="11161" max="11161" width="1.5703125" style="12" customWidth="1"/>
    <col min="11162" max="11194" width="9.140625" style="12" customWidth="1"/>
    <col min="11195" max="11195" width="0.28515625" style="12" customWidth="1"/>
    <col min="11196" max="11198" width="9.140625" style="12" customWidth="1"/>
    <col min="11199" max="11199" width="1" style="12" customWidth="1"/>
    <col min="11200" max="11202" width="9.140625" style="12" customWidth="1"/>
    <col min="11203" max="11203" width="1" style="12" customWidth="1"/>
    <col min="11204" max="11206" width="9.140625" style="12" customWidth="1"/>
    <col min="11207" max="11207" width="1" style="12" customWidth="1"/>
    <col min="11208" max="11210" width="9.140625" style="12" customWidth="1"/>
    <col min="11211" max="11211" width="1" style="12" customWidth="1"/>
    <col min="11212" max="11212" width="1.28515625" style="12" customWidth="1"/>
    <col min="11213" max="11221" width="9.140625" style="12" customWidth="1"/>
    <col min="11222" max="11222" width="0.42578125" style="12" customWidth="1"/>
    <col min="11223" max="11227" width="1" style="12" customWidth="1"/>
    <col min="11228" max="11228" width="0.85546875" style="12" customWidth="1"/>
    <col min="11229" max="11238" width="1" style="12" customWidth="1"/>
    <col min="11239" max="11239" width="1.28515625" style="12" customWidth="1"/>
    <col min="11240" max="11248" width="9.140625" style="12" customWidth="1"/>
    <col min="11249" max="11249" width="0.42578125" style="12" customWidth="1"/>
    <col min="11250" max="11252" width="9.140625" style="12" customWidth="1"/>
    <col min="11253" max="11253" width="1.140625" style="12" customWidth="1"/>
    <col min="11254" max="11256" width="9.140625" style="12" customWidth="1"/>
    <col min="11257" max="11257" width="1" style="12" customWidth="1"/>
    <col min="11258" max="11260" width="9.140625" style="12" customWidth="1"/>
    <col min="11261" max="11261" width="1.140625" style="12" customWidth="1"/>
    <col min="11262" max="11264" width="9.140625" style="12" customWidth="1"/>
    <col min="11265" max="11265" width="1.140625" style="12" customWidth="1"/>
    <col min="11266" max="11266" width="1.28515625" style="12" customWidth="1"/>
    <col min="11267" max="11275" width="9.140625" style="12" customWidth="1"/>
    <col min="11276" max="11408" width="9.140625" style="12"/>
    <col min="11409" max="11409" width="9.140625" style="12" customWidth="1"/>
    <col min="11410" max="11410" width="0.7109375" style="12" customWidth="1"/>
    <col min="11411" max="11411" width="0.85546875" style="12" customWidth="1"/>
    <col min="11412" max="11414" width="9.140625" style="12" customWidth="1"/>
    <col min="11415" max="11415" width="5.5703125" style="12" customWidth="1"/>
    <col min="11416" max="11416" width="2" style="12" customWidth="1"/>
    <col min="11417" max="11417" width="1.5703125" style="12" customWidth="1"/>
    <col min="11418" max="11450" width="9.140625" style="12" customWidth="1"/>
    <col min="11451" max="11451" width="0.28515625" style="12" customWidth="1"/>
    <col min="11452" max="11454" width="9.140625" style="12" customWidth="1"/>
    <col min="11455" max="11455" width="1" style="12" customWidth="1"/>
    <col min="11456" max="11458" width="9.140625" style="12" customWidth="1"/>
    <col min="11459" max="11459" width="1" style="12" customWidth="1"/>
    <col min="11460" max="11462" width="9.140625" style="12" customWidth="1"/>
    <col min="11463" max="11463" width="1" style="12" customWidth="1"/>
    <col min="11464" max="11466" width="9.140625" style="12" customWidth="1"/>
    <col min="11467" max="11467" width="1" style="12" customWidth="1"/>
    <col min="11468" max="11468" width="1.28515625" style="12" customWidth="1"/>
    <col min="11469" max="11477" width="9.140625" style="12" customWidth="1"/>
    <col min="11478" max="11478" width="0.42578125" style="12" customWidth="1"/>
    <col min="11479" max="11483" width="1" style="12" customWidth="1"/>
    <col min="11484" max="11484" width="0.85546875" style="12" customWidth="1"/>
    <col min="11485" max="11494" width="1" style="12" customWidth="1"/>
    <col min="11495" max="11495" width="1.28515625" style="12" customWidth="1"/>
    <col min="11496" max="11504" width="9.140625" style="12" customWidth="1"/>
    <col min="11505" max="11505" width="0.42578125" style="12" customWidth="1"/>
    <col min="11506" max="11508" width="9.140625" style="12" customWidth="1"/>
    <col min="11509" max="11509" width="1.140625" style="12" customWidth="1"/>
    <col min="11510" max="11512" width="9.140625" style="12" customWidth="1"/>
    <col min="11513" max="11513" width="1" style="12" customWidth="1"/>
    <col min="11514" max="11516" width="9.140625" style="12" customWidth="1"/>
    <col min="11517" max="11517" width="1.140625" style="12" customWidth="1"/>
    <col min="11518" max="11520" width="9.140625" style="12" customWidth="1"/>
    <col min="11521" max="11521" width="1.140625" style="12" customWidth="1"/>
    <col min="11522" max="11522" width="1.28515625" style="12" customWidth="1"/>
    <col min="11523" max="11531" width="9.140625" style="12" customWidth="1"/>
    <col min="11532" max="11664" width="9.140625" style="12"/>
    <col min="11665" max="11665" width="9.140625" style="12" customWidth="1"/>
    <col min="11666" max="11666" width="0.7109375" style="12" customWidth="1"/>
    <col min="11667" max="11667" width="0.85546875" style="12" customWidth="1"/>
    <col min="11668" max="11670" width="9.140625" style="12" customWidth="1"/>
    <col min="11671" max="11671" width="5.5703125" style="12" customWidth="1"/>
    <col min="11672" max="11672" width="2" style="12" customWidth="1"/>
    <col min="11673" max="11673" width="1.5703125" style="12" customWidth="1"/>
    <col min="11674" max="11706" width="9.140625" style="12" customWidth="1"/>
    <col min="11707" max="11707" width="0.28515625" style="12" customWidth="1"/>
    <col min="11708" max="11710" width="9.140625" style="12" customWidth="1"/>
    <col min="11711" max="11711" width="1" style="12" customWidth="1"/>
    <col min="11712" max="11714" width="9.140625" style="12" customWidth="1"/>
    <col min="11715" max="11715" width="1" style="12" customWidth="1"/>
    <col min="11716" max="11718" width="9.140625" style="12" customWidth="1"/>
    <col min="11719" max="11719" width="1" style="12" customWidth="1"/>
    <col min="11720" max="11722" width="9.140625" style="12" customWidth="1"/>
    <col min="11723" max="11723" width="1" style="12" customWidth="1"/>
    <col min="11724" max="11724" width="1.28515625" style="12" customWidth="1"/>
    <col min="11725" max="11733" width="9.140625" style="12" customWidth="1"/>
    <col min="11734" max="11734" width="0.42578125" style="12" customWidth="1"/>
    <col min="11735" max="11739" width="1" style="12" customWidth="1"/>
    <col min="11740" max="11740" width="0.85546875" style="12" customWidth="1"/>
    <col min="11741" max="11750" width="1" style="12" customWidth="1"/>
    <col min="11751" max="11751" width="1.28515625" style="12" customWidth="1"/>
    <col min="11752" max="11760" width="9.140625" style="12" customWidth="1"/>
    <col min="11761" max="11761" width="0.42578125" style="12" customWidth="1"/>
    <col min="11762" max="11764" width="9.140625" style="12" customWidth="1"/>
    <col min="11765" max="11765" width="1.140625" style="12" customWidth="1"/>
    <col min="11766" max="11768" width="9.140625" style="12" customWidth="1"/>
    <col min="11769" max="11769" width="1" style="12" customWidth="1"/>
    <col min="11770" max="11772" width="9.140625" style="12" customWidth="1"/>
    <col min="11773" max="11773" width="1.140625" style="12" customWidth="1"/>
    <col min="11774" max="11776" width="9.140625" style="12" customWidth="1"/>
    <col min="11777" max="11777" width="1.140625" style="12" customWidth="1"/>
    <col min="11778" max="11778" width="1.28515625" style="12" customWidth="1"/>
    <col min="11779" max="11787" width="9.140625" style="12" customWidth="1"/>
    <col min="11788" max="11920" width="9.140625" style="12"/>
    <col min="11921" max="11921" width="9.140625" style="12" customWidth="1"/>
    <col min="11922" max="11922" width="0.7109375" style="12" customWidth="1"/>
    <col min="11923" max="11923" width="0.85546875" style="12" customWidth="1"/>
    <col min="11924" max="11926" width="9.140625" style="12" customWidth="1"/>
    <col min="11927" max="11927" width="5.5703125" style="12" customWidth="1"/>
    <col min="11928" max="11928" width="2" style="12" customWidth="1"/>
    <col min="11929" max="11929" width="1.5703125" style="12" customWidth="1"/>
    <col min="11930" max="11962" width="9.140625" style="12" customWidth="1"/>
    <col min="11963" max="11963" width="0.28515625" style="12" customWidth="1"/>
    <col min="11964" max="11966" width="9.140625" style="12" customWidth="1"/>
    <col min="11967" max="11967" width="1" style="12" customWidth="1"/>
    <col min="11968" max="11970" width="9.140625" style="12" customWidth="1"/>
    <col min="11971" max="11971" width="1" style="12" customWidth="1"/>
    <col min="11972" max="11974" width="9.140625" style="12" customWidth="1"/>
    <col min="11975" max="11975" width="1" style="12" customWidth="1"/>
    <col min="11976" max="11978" width="9.140625" style="12" customWidth="1"/>
    <col min="11979" max="11979" width="1" style="12" customWidth="1"/>
    <col min="11980" max="11980" width="1.28515625" style="12" customWidth="1"/>
    <col min="11981" max="11989" width="9.140625" style="12" customWidth="1"/>
    <col min="11990" max="11990" width="0.42578125" style="12" customWidth="1"/>
    <col min="11991" max="11995" width="1" style="12" customWidth="1"/>
    <col min="11996" max="11996" width="0.85546875" style="12" customWidth="1"/>
    <col min="11997" max="12006" width="1" style="12" customWidth="1"/>
    <col min="12007" max="12007" width="1.28515625" style="12" customWidth="1"/>
    <col min="12008" max="12016" width="9.140625" style="12" customWidth="1"/>
    <col min="12017" max="12017" width="0.42578125" style="12" customWidth="1"/>
    <col min="12018" max="12020" width="9.140625" style="12" customWidth="1"/>
    <col min="12021" max="12021" width="1.140625" style="12" customWidth="1"/>
    <col min="12022" max="12024" width="9.140625" style="12" customWidth="1"/>
    <col min="12025" max="12025" width="1" style="12" customWidth="1"/>
    <col min="12026" max="12028" width="9.140625" style="12" customWidth="1"/>
    <col min="12029" max="12029" width="1.140625" style="12" customWidth="1"/>
    <col min="12030" max="12032" width="9.140625" style="12" customWidth="1"/>
    <col min="12033" max="12033" width="1.140625" style="12" customWidth="1"/>
    <col min="12034" max="12034" width="1.28515625" style="12" customWidth="1"/>
    <col min="12035" max="12043" width="9.140625" style="12" customWidth="1"/>
    <col min="12044" max="12176" width="9.140625" style="12"/>
    <col min="12177" max="12177" width="9.140625" style="12" customWidth="1"/>
    <col min="12178" max="12178" width="0.7109375" style="12" customWidth="1"/>
    <col min="12179" max="12179" width="0.85546875" style="12" customWidth="1"/>
    <col min="12180" max="12182" width="9.140625" style="12" customWidth="1"/>
    <col min="12183" max="12183" width="5.5703125" style="12" customWidth="1"/>
    <col min="12184" max="12184" width="2" style="12" customWidth="1"/>
    <col min="12185" max="12185" width="1.5703125" style="12" customWidth="1"/>
    <col min="12186" max="12218" width="9.140625" style="12" customWidth="1"/>
    <col min="12219" max="12219" width="0.28515625" style="12" customWidth="1"/>
    <col min="12220" max="12222" width="9.140625" style="12" customWidth="1"/>
    <col min="12223" max="12223" width="1" style="12" customWidth="1"/>
    <col min="12224" max="12226" width="9.140625" style="12" customWidth="1"/>
    <col min="12227" max="12227" width="1" style="12" customWidth="1"/>
    <col min="12228" max="12230" width="9.140625" style="12" customWidth="1"/>
    <col min="12231" max="12231" width="1" style="12" customWidth="1"/>
    <col min="12232" max="12234" width="9.140625" style="12" customWidth="1"/>
    <col min="12235" max="12235" width="1" style="12" customWidth="1"/>
    <col min="12236" max="12236" width="1.28515625" style="12" customWidth="1"/>
    <col min="12237" max="12245" width="9.140625" style="12" customWidth="1"/>
    <col min="12246" max="12246" width="0.42578125" style="12" customWidth="1"/>
    <col min="12247" max="12251" width="1" style="12" customWidth="1"/>
    <col min="12252" max="12252" width="0.85546875" style="12" customWidth="1"/>
    <col min="12253" max="12262" width="1" style="12" customWidth="1"/>
    <col min="12263" max="12263" width="1.28515625" style="12" customWidth="1"/>
    <col min="12264" max="12272" width="9.140625" style="12" customWidth="1"/>
    <col min="12273" max="12273" width="0.42578125" style="12" customWidth="1"/>
    <col min="12274" max="12276" width="9.140625" style="12" customWidth="1"/>
    <col min="12277" max="12277" width="1.140625" style="12" customWidth="1"/>
    <col min="12278" max="12280" width="9.140625" style="12" customWidth="1"/>
    <col min="12281" max="12281" width="1" style="12" customWidth="1"/>
    <col min="12282" max="12284" width="9.140625" style="12" customWidth="1"/>
    <col min="12285" max="12285" width="1.140625" style="12" customWidth="1"/>
    <col min="12286" max="12288" width="9.140625" style="12" customWidth="1"/>
    <col min="12289" max="12289" width="1.140625" style="12" customWidth="1"/>
    <col min="12290" max="12290" width="1.28515625" style="12" customWidth="1"/>
    <col min="12291" max="12299" width="9.140625" style="12" customWidth="1"/>
    <col min="12300" max="12432" width="9.140625" style="12"/>
    <col min="12433" max="12433" width="9.140625" style="12" customWidth="1"/>
    <col min="12434" max="12434" width="0.7109375" style="12" customWidth="1"/>
    <col min="12435" max="12435" width="0.85546875" style="12" customWidth="1"/>
    <col min="12436" max="12438" width="9.140625" style="12" customWidth="1"/>
    <col min="12439" max="12439" width="5.5703125" style="12" customWidth="1"/>
    <col min="12440" max="12440" width="2" style="12" customWidth="1"/>
    <col min="12441" max="12441" width="1.5703125" style="12" customWidth="1"/>
    <col min="12442" max="12474" width="9.140625" style="12" customWidth="1"/>
    <col min="12475" max="12475" width="0.28515625" style="12" customWidth="1"/>
    <col min="12476" max="12478" width="9.140625" style="12" customWidth="1"/>
    <col min="12479" max="12479" width="1" style="12" customWidth="1"/>
    <col min="12480" max="12482" width="9.140625" style="12" customWidth="1"/>
    <col min="12483" max="12483" width="1" style="12" customWidth="1"/>
    <col min="12484" max="12486" width="9.140625" style="12" customWidth="1"/>
    <col min="12487" max="12487" width="1" style="12" customWidth="1"/>
    <col min="12488" max="12490" width="9.140625" style="12" customWidth="1"/>
    <col min="12491" max="12491" width="1" style="12" customWidth="1"/>
    <col min="12492" max="12492" width="1.28515625" style="12" customWidth="1"/>
    <col min="12493" max="12501" width="9.140625" style="12" customWidth="1"/>
    <col min="12502" max="12502" width="0.42578125" style="12" customWidth="1"/>
    <col min="12503" max="12507" width="1" style="12" customWidth="1"/>
    <col min="12508" max="12508" width="0.85546875" style="12" customWidth="1"/>
    <col min="12509" max="12518" width="1" style="12" customWidth="1"/>
    <col min="12519" max="12519" width="1.28515625" style="12" customWidth="1"/>
    <col min="12520" max="12528" width="9.140625" style="12" customWidth="1"/>
    <col min="12529" max="12529" width="0.42578125" style="12" customWidth="1"/>
    <col min="12530" max="12532" width="9.140625" style="12" customWidth="1"/>
    <col min="12533" max="12533" width="1.140625" style="12" customWidth="1"/>
    <col min="12534" max="12536" width="9.140625" style="12" customWidth="1"/>
    <col min="12537" max="12537" width="1" style="12" customWidth="1"/>
    <col min="12538" max="12540" width="9.140625" style="12" customWidth="1"/>
    <col min="12541" max="12541" width="1.140625" style="12" customWidth="1"/>
    <col min="12542" max="12544" width="9.140625" style="12" customWidth="1"/>
    <col min="12545" max="12545" width="1.140625" style="12" customWidth="1"/>
    <col min="12546" max="12546" width="1.28515625" style="12" customWidth="1"/>
    <col min="12547" max="12555" width="9.140625" style="12" customWidth="1"/>
    <col min="12556" max="12688" width="9.140625" style="12"/>
    <col min="12689" max="12689" width="9.140625" style="12" customWidth="1"/>
    <col min="12690" max="12690" width="0.7109375" style="12" customWidth="1"/>
    <col min="12691" max="12691" width="0.85546875" style="12" customWidth="1"/>
    <col min="12692" max="12694" width="9.140625" style="12" customWidth="1"/>
    <col min="12695" max="12695" width="5.5703125" style="12" customWidth="1"/>
    <col min="12696" max="12696" width="2" style="12" customWidth="1"/>
    <col min="12697" max="12697" width="1.5703125" style="12" customWidth="1"/>
    <col min="12698" max="12730" width="9.140625" style="12" customWidth="1"/>
    <col min="12731" max="12731" width="0.28515625" style="12" customWidth="1"/>
    <col min="12732" max="12734" width="9.140625" style="12" customWidth="1"/>
    <col min="12735" max="12735" width="1" style="12" customWidth="1"/>
    <col min="12736" max="12738" width="9.140625" style="12" customWidth="1"/>
    <col min="12739" max="12739" width="1" style="12" customWidth="1"/>
    <col min="12740" max="12742" width="9.140625" style="12" customWidth="1"/>
    <col min="12743" max="12743" width="1" style="12" customWidth="1"/>
    <col min="12744" max="12746" width="9.140625" style="12" customWidth="1"/>
    <col min="12747" max="12747" width="1" style="12" customWidth="1"/>
    <col min="12748" max="12748" width="1.28515625" style="12" customWidth="1"/>
    <col min="12749" max="12757" width="9.140625" style="12" customWidth="1"/>
    <col min="12758" max="12758" width="0.42578125" style="12" customWidth="1"/>
    <col min="12759" max="12763" width="1" style="12" customWidth="1"/>
    <col min="12764" max="12764" width="0.85546875" style="12" customWidth="1"/>
    <col min="12765" max="12774" width="1" style="12" customWidth="1"/>
    <col min="12775" max="12775" width="1.28515625" style="12" customWidth="1"/>
    <col min="12776" max="12784" width="9.140625" style="12" customWidth="1"/>
    <col min="12785" max="12785" width="0.42578125" style="12" customWidth="1"/>
    <col min="12786" max="12788" width="9.140625" style="12" customWidth="1"/>
    <col min="12789" max="12789" width="1.140625" style="12" customWidth="1"/>
    <col min="12790" max="12792" width="9.140625" style="12" customWidth="1"/>
    <col min="12793" max="12793" width="1" style="12" customWidth="1"/>
    <col min="12794" max="12796" width="9.140625" style="12" customWidth="1"/>
    <col min="12797" max="12797" width="1.140625" style="12" customWidth="1"/>
    <col min="12798" max="12800" width="9.140625" style="12" customWidth="1"/>
    <col min="12801" max="12801" width="1.140625" style="12" customWidth="1"/>
    <col min="12802" max="12802" width="1.28515625" style="12" customWidth="1"/>
    <col min="12803" max="12811" width="9.140625" style="12" customWidth="1"/>
    <col min="12812" max="12944" width="9.140625" style="12"/>
    <col min="12945" max="12945" width="9.140625" style="12" customWidth="1"/>
    <col min="12946" max="12946" width="0.7109375" style="12" customWidth="1"/>
    <col min="12947" max="12947" width="0.85546875" style="12" customWidth="1"/>
    <col min="12948" max="12950" width="9.140625" style="12" customWidth="1"/>
    <col min="12951" max="12951" width="5.5703125" style="12" customWidth="1"/>
    <col min="12952" max="12952" width="2" style="12" customWidth="1"/>
    <col min="12953" max="12953" width="1.5703125" style="12" customWidth="1"/>
    <col min="12954" max="12986" width="9.140625" style="12" customWidth="1"/>
    <col min="12987" max="12987" width="0.28515625" style="12" customWidth="1"/>
    <col min="12988" max="12990" width="9.140625" style="12" customWidth="1"/>
    <col min="12991" max="12991" width="1" style="12" customWidth="1"/>
    <col min="12992" max="12994" width="9.140625" style="12" customWidth="1"/>
    <col min="12995" max="12995" width="1" style="12" customWidth="1"/>
    <col min="12996" max="12998" width="9.140625" style="12" customWidth="1"/>
    <col min="12999" max="12999" width="1" style="12" customWidth="1"/>
    <col min="13000" max="13002" width="9.140625" style="12" customWidth="1"/>
    <col min="13003" max="13003" width="1" style="12" customWidth="1"/>
    <col min="13004" max="13004" width="1.28515625" style="12" customWidth="1"/>
    <col min="13005" max="13013" width="9.140625" style="12" customWidth="1"/>
    <col min="13014" max="13014" width="0.42578125" style="12" customWidth="1"/>
    <col min="13015" max="13019" width="1" style="12" customWidth="1"/>
    <col min="13020" max="13020" width="0.85546875" style="12" customWidth="1"/>
    <col min="13021" max="13030" width="1" style="12" customWidth="1"/>
    <col min="13031" max="13031" width="1.28515625" style="12" customWidth="1"/>
    <col min="13032" max="13040" width="9.140625" style="12" customWidth="1"/>
    <col min="13041" max="13041" width="0.42578125" style="12" customWidth="1"/>
    <col min="13042" max="13044" width="9.140625" style="12" customWidth="1"/>
    <col min="13045" max="13045" width="1.140625" style="12" customWidth="1"/>
    <col min="13046" max="13048" width="9.140625" style="12" customWidth="1"/>
    <col min="13049" max="13049" width="1" style="12" customWidth="1"/>
    <col min="13050" max="13052" width="9.140625" style="12" customWidth="1"/>
    <col min="13053" max="13053" width="1.140625" style="12" customWidth="1"/>
    <col min="13054" max="13056" width="9.140625" style="12" customWidth="1"/>
    <col min="13057" max="13057" width="1.140625" style="12" customWidth="1"/>
    <col min="13058" max="13058" width="1.28515625" style="12" customWidth="1"/>
    <col min="13059" max="13067" width="9.140625" style="12" customWidth="1"/>
    <col min="13068" max="13200" width="9.140625" style="12"/>
    <col min="13201" max="13201" width="9.140625" style="12" customWidth="1"/>
    <col min="13202" max="13202" width="0.7109375" style="12" customWidth="1"/>
    <col min="13203" max="13203" width="0.85546875" style="12" customWidth="1"/>
    <col min="13204" max="13206" width="9.140625" style="12" customWidth="1"/>
    <col min="13207" max="13207" width="5.5703125" style="12" customWidth="1"/>
    <col min="13208" max="13208" width="2" style="12" customWidth="1"/>
    <col min="13209" max="13209" width="1.5703125" style="12" customWidth="1"/>
    <col min="13210" max="13242" width="9.140625" style="12" customWidth="1"/>
    <col min="13243" max="13243" width="0.28515625" style="12" customWidth="1"/>
    <col min="13244" max="13246" width="9.140625" style="12" customWidth="1"/>
    <col min="13247" max="13247" width="1" style="12" customWidth="1"/>
    <col min="13248" max="13250" width="9.140625" style="12" customWidth="1"/>
    <col min="13251" max="13251" width="1" style="12" customWidth="1"/>
    <col min="13252" max="13254" width="9.140625" style="12" customWidth="1"/>
    <col min="13255" max="13255" width="1" style="12" customWidth="1"/>
    <col min="13256" max="13258" width="9.140625" style="12" customWidth="1"/>
    <col min="13259" max="13259" width="1" style="12" customWidth="1"/>
    <col min="13260" max="13260" width="1.28515625" style="12" customWidth="1"/>
    <col min="13261" max="13269" width="9.140625" style="12" customWidth="1"/>
    <col min="13270" max="13270" width="0.42578125" style="12" customWidth="1"/>
    <col min="13271" max="13275" width="1" style="12" customWidth="1"/>
    <col min="13276" max="13276" width="0.85546875" style="12" customWidth="1"/>
    <col min="13277" max="13286" width="1" style="12" customWidth="1"/>
    <col min="13287" max="13287" width="1.28515625" style="12" customWidth="1"/>
    <col min="13288" max="13296" width="9.140625" style="12" customWidth="1"/>
    <col min="13297" max="13297" width="0.42578125" style="12" customWidth="1"/>
    <col min="13298" max="13300" width="9.140625" style="12" customWidth="1"/>
    <col min="13301" max="13301" width="1.140625" style="12" customWidth="1"/>
    <col min="13302" max="13304" width="9.140625" style="12" customWidth="1"/>
    <col min="13305" max="13305" width="1" style="12" customWidth="1"/>
    <col min="13306" max="13308" width="9.140625" style="12" customWidth="1"/>
    <col min="13309" max="13309" width="1.140625" style="12" customWidth="1"/>
    <col min="13310" max="13312" width="9.140625" style="12" customWidth="1"/>
    <col min="13313" max="13313" width="1.140625" style="12" customWidth="1"/>
    <col min="13314" max="13314" width="1.28515625" style="12" customWidth="1"/>
    <col min="13315" max="13323" width="9.140625" style="12" customWidth="1"/>
    <col min="13324" max="13456" width="9.140625" style="12"/>
    <col min="13457" max="13457" width="9.140625" style="12" customWidth="1"/>
    <col min="13458" max="13458" width="0.7109375" style="12" customWidth="1"/>
    <col min="13459" max="13459" width="0.85546875" style="12" customWidth="1"/>
    <col min="13460" max="13462" width="9.140625" style="12" customWidth="1"/>
    <col min="13463" max="13463" width="5.5703125" style="12" customWidth="1"/>
    <col min="13464" max="13464" width="2" style="12" customWidth="1"/>
    <col min="13465" max="13465" width="1.5703125" style="12" customWidth="1"/>
    <col min="13466" max="13498" width="9.140625" style="12" customWidth="1"/>
    <col min="13499" max="13499" width="0.28515625" style="12" customWidth="1"/>
    <col min="13500" max="13502" width="9.140625" style="12" customWidth="1"/>
    <col min="13503" max="13503" width="1" style="12" customWidth="1"/>
    <col min="13504" max="13506" width="9.140625" style="12" customWidth="1"/>
    <col min="13507" max="13507" width="1" style="12" customWidth="1"/>
    <col min="13508" max="13510" width="9.140625" style="12" customWidth="1"/>
    <col min="13511" max="13511" width="1" style="12" customWidth="1"/>
    <col min="13512" max="13514" width="9.140625" style="12" customWidth="1"/>
    <col min="13515" max="13515" width="1" style="12" customWidth="1"/>
    <col min="13516" max="13516" width="1.28515625" style="12" customWidth="1"/>
    <col min="13517" max="13525" width="9.140625" style="12" customWidth="1"/>
    <col min="13526" max="13526" width="0.42578125" style="12" customWidth="1"/>
    <col min="13527" max="13531" width="1" style="12" customWidth="1"/>
    <col min="13532" max="13532" width="0.85546875" style="12" customWidth="1"/>
    <col min="13533" max="13542" width="1" style="12" customWidth="1"/>
    <col min="13543" max="13543" width="1.28515625" style="12" customWidth="1"/>
    <col min="13544" max="13552" width="9.140625" style="12" customWidth="1"/>
    <col min="13553" max="13553" width="0.42578125" style="12" customWidth="1"/>
    <col min="13554" max="13556" width="9.140625" style="12" customWidth="1"/>
    <col min="13557" max="13557" width="1.140625" style="12" customWidth="1"/>
    <col min="13558" max="13560" width="9.140625" style="12" customWidth="1"/>
    <col min="13561" max="13561" width="1" style="12" customWidth="1"/>
    <col min="13562" max="13564" width="9.140625" style="12" customWidth="1"/>
    <col min="13565" max="13565" width="1.140625" style="12" customWidth="1"/>
    <col min="13566" max="13568" width="9.140625" style="12" customWidth="1"/>
    <col min="13569" max="13569" width="1.140625" style="12" customWidth="1"/>
    <col min="13570" max="13570" width="1.28515625" style="12" customWidth="1"/>
    <col min="13571" max="13579" width="9.140625" style="12" customWidth="1"/>
    <col min="13580" max="13712" width="9.140625" style="12"/>
    <col min="13713" max="13713" width="9.140625" style="12" customWidth="1"/>
    <col min="13714" max="13714" width="0.7109375" style="12" customWidth="1"/>
    <col min="13715" max="13715" width="0.85546875" style="12" customWidth="1"/>
    <col min="13716" max="13718" width="9.140625" style="12" customWidth="1"/>
    <col min="13719" max="13719" width="5.5703125" style="12" customWidth="1"/>
    <col min="13720" max="13720" width="2" style="12" customWidth="1"/>
    <col min="13721" max="13721" width="1.5703125" style="12" customWidth="1"/>
    <col min="13722" max="13754" width="9.140625" style="12" customWidth="1"/>
    <col min="13755" max="13755" width="0.28515625" style="12" customWidth="1"/>
    <col min="13756" max="13758" width="9.140625" style="12" customWidth="1"/>
    <col min="13759" max="13759" width="1" style="12" customWidth="1"/>
    <col min="13760" max="13762" width="9.140625" style="12" customWidth="1"/>
    <col min="13763" max="13763" width="1" style="12" customWidth="1"/>
    <col min="13764" max="13766" width="9.140625" style="12" customWidth="1"/>
    <col min="13767" max="13767" width="1" style="12" customWidth="1"/>
    <col min="13768" max="13770" width="9.140625" style="12" customWidth="1"/>
    <col min="13771" max="13771" width="1" style="12" customWidth="1"/>
    <col min="13772" max="13772" width="1.28515625" style="12" customWidth="1"/>
    <col min="13773" max="13781" width="9.140625" style="12" customWidth="1"/>
    <col min="13782" max="13782" width="0.42578125" style="12" customWidth="1"/>
    <col min="13783" max="13787" width="1" style="12" customWidth="1"/>
    <col min="13788" max="13788" width="0.85546875" style="12" customWidth="1"/>
    <col min="13789" max="13798" width="1" style="12" customWidth="1"/>
    <col min="13799" max="13799" width="1.28515625" style="12" customWidth="1"/>
    <col min="13800" max="13808" width="9.140625" style="12" customWidth="1"/>
    <col min="13809" max="13809" width="0.42578125" style="12" customWidth="1"/>
    <col min="13810" max="13812" width="9.140625" style="12" customWidth="1"/>
    <col min="13813" max="13813" width="1.140625" style="12" customWidth="1"/>
    <col min="13814" max="13816" width="9.140625" style="12" customWidth="1"/>
    <col min="13817" max="13817" width="1" style="12" customWidth="1"/>
    <col min="13818" max="13820" width="9.140625" style="12" customWidth="1"/>
    <col min="13821" max="13821" width="1.140625" style="12" customWidth="1"/>
    <col min="13822" max="13824" width="9.140625" style="12" customWidth="1"/>
    <col min="13825" max="13825" width="1.140625" style="12" customWidth="1"/>
    <col min="13826" max="13826" width="1.28515625" style="12" customWidth="1"/>
    <col min="13827" max="13835" width="9.140625" style="12" customWidth="1"/>
    <col min="13836" max="13968" width="9.140625" style="12"/>
    <col min="13969" max="13969" width="9.140625" style="12" customWidth="1"/>
    <col min="13970" max="13970" width="0.7109375" style="12" customWidth="1"/>
    <col min="13971" max="13971" width="0.85546875" style="12" customWidth="1"/>
    <col min="13972" max="13974" width="9.140625" style="12" customWidth="1"/>
    <col min="13975" max="13975" width="5.5703125" style="12" customWidth="1"/>
    <col min="13976" max="13976" width="2" style="12" customWidth="1"/>
    <col min="13977" max="13977" width="1.5703125" style="12" customWidth="1"/>
    <col min="13978" max="14010" width="9.140625" style="12" customWidth="1"/>
    <col min="14011" max="14011" width="0.28515625" style="12" customWidth="1"/>
    <col min="14012" max="14014" width="9.140625" style="12" customWidth="1"/>
    <col min="14015" max="14015" width="1" style="12" customWidth="1"/>
    <col min="14016" max="14018" width="9.140625" style="12" customWidth="1"/>
    <col min="14019" max="14019" width="1" style="12" customWidth="1"/>
    <col min="14020" max="14022" width="9.140625" style="12" customWidth="1"/>
    <col min="14023" max="14023" width="1" style="12" customWidth="1"/>
    <col min="14024" max="14026" width="9.140625" style="12" customWidth="1"/>
    <col min="14027" max="14027" width="1" style="12" customWidth="1"/>
    <col min="14028" max="14028" width="1.28515625" style="12" customWidth="1"/>
    <col min="14029" max="14037" width="9.140625" style="12" customWidth="1"/>
    <col min="14038" max="14038" width="0.42578125" style="12" customWidth="1"/>
    <col min="14039" max="14043" width="1" style="12" customWidth="1"/>
    <col min="14044" max="14044" width="0.85546875" style="12" customWidth="1"/>
    <col min="14045" max="14054" width="1" style="12" customWidth="1"/>
    <col min="14055" max="14055" width="1.28515625" style="12" customWidth="1"/>
    <col min="14056" max="14064" width="9.140625" style="12" customWidth="1"/>
    <col min="14065" max="14065" width="0.42578125" style="12" customWidth="1"/>
    <col min="14066" max="14068" width="9.140625" style="12" customWidth="1"/>
    <col min="14069" max="14069" width="1.140625" style="12" customWidth="1"/>
    <col min="14070" max="14072" width="9.140625" style="12" customWidth="1"/>
    <col min="14073" max="14073" width="1" style="12" customWidth="1"/>
    <col min="14074" max="14076" width="9.140625" style="12" customWidth="1"/>
    <col min="14077" max="14077" width="1.140625" style="12" customWidth="1"/>
    <col min="14078" max="14080" width="9.140625" style="12" customWidth="1"/>
    <col min="14081" max="14081" width="1.140625" style="12" customWidth="1"/>
    <col min="14082" max="14082" width="1.28515625" style="12" customWidth="1"/>
    <col min="14083" max="14091" width="9.140625" style="12" customWidth="1"/>
    <col min="14092" max="14224" width="9.140625" style="12"/>
    <col min="14225" max="14225" width="9.140625" style="12" customWidth="1"/>
    <col min="14226" max="14226" width="0.7109375" style="12" customWidth="1"/>
    <col min="14227" max="14227" width="0.85546875" style="12" customWidth="1"/>
    <col min="14228" max="14230" width="9.140625" style="12" customWidth="1"/>
    <col min="14231" max="14231" width="5.5703125" style="12" customWidth="1"/>
    <col min="14232" max="14232" width="2" style="12" customWidth="1"/>
    <col min="14233" max="14233" width="1.5703125" style="12" customWidth="1"/>
    <col min="14234" max="14266" width="9.140625" style="12" customWidth="1"/>
    <col min="14267" max="14267" width="0.28515625" style="12" customWidth="1"/>
    <col min="14268" max="14270" width="9.140625" style="12" customWidth="1"/>
    <col min="14271" max="14271" width="1" style="12" customWidth="1"/>
    <col min="14272" max="14274" width="9.140625" style="12" customWidth="1"/>
    <col min="14275" max="14275" width="1" style="12" customWidth="1"/>
    <col min="14276" max="14278" width="9.140625" style="12" customWidth="1"/>
    <col min="14279" max="14279" width="1" style="12" customWidth="1"/>
    <col min="14280" max="14282" width="9.140625" style="12" customWidth="1"/>
    <col min="14283" max="14283" width="1" style="12" customWidth="1"/>
    <col min="14284" max="14284" width="1.28515625" style="12" customWidth="1"/>
    <col min="14285" max="14293" width="9.140625" style="12" customWidth="1"/>
    <col min="14294" max="14294" width="0.42578125" style="12" customWidth="1"/>
    <col min="14295" max="14299" width="1" style="12" customWidth="1"/>
    <col min="14300" max="14300" width="0.85546875" style="12" customWidth="1"/>
    <col min="14301" max="14310" width="1" style="12" customWidth="1"/>
    <col min="14311" max="14311" width="1.28515625" style="12" customWidth="1"/>
    <col min="14312" max="14320" width="9.140625" style="12" customWidth="1"/>
    <col min="14321" max="14321" width="0.42578125" style="12" customWidth="1"/>
    <col min="14322" max="14324" width="9.140625" style="12" customWidth="1"/>
    <col min="14325" max="14325" width="1.140625" style="12" customWidth="1"/>
    <col min="14326" max="14328" width="9.140625" style="12" customWidth="1"/>
    <col min="14329" max="14329" width="1" style="12" customWidth="1"/>
    <col min="14330" max="14332" width="9.140625" style="12" customWidth="1"/>
    <col min="14333" max="14333" width="1.140625" style="12" customWidth="1"/>
    <col min="14334" max="14336" width="9.140625" style="12" customWidth="1"/>
    <col min="14337" max="14337" width="1.140625" style="12" customWidth="1"/>
    <col min="14338" max="14338" width="1.28515625" style="12" customWidth="1"/>
    <col min="14339" max="14347" width="9.140625" style="12" customWidth="1"/>
    <col min="14348" max="14480" width="9.140625" style="12"/>
    <col min="14481" max="14481" width="9.140625" style="12" customWidth="1"/>
    <col min="14482" max="14482" width="0.7109375" style="12" customWidth="1"/>
    <col min="14483" max="14483" width="0.85546875" style="12" customWidth="1"/>
    <col min="14484" max="14486" width="9.140625" style="12" customWidth="1"/>
    <col min="14487" max="14487" width="5.5703125" style="12" customWidth="1"/>
    <col min="14488" max="14488" width="2" style="12" customWidth="1"/>
    <col min="14489" max="14489" width="1.5703125" style="12" customWidth="1"/>
    <col min="14490" max="14522" width="9.140625" style="12" customWidth="1"/>
    <col min="14523" max="14523" width="0.28515625" style="12" customWidth="1"/>
    <col min="14524" max="14526" width="9.140625" style="12" customWidth="1"/>
    <col min="14527" max="14527" width="1" style="12" customWidth="1"/>
    <col min="14528" max="14530" width="9.140625" style="12" customWidth="1"/>
    <col min="14531" max="14531" width="1" style="12" customWidth="1"/>
    <col min="14532" max="14534" width="9.140625" style="12" customWidth="1"/>
    <col min="14535" max="14535" width="1" style="12" customWidth="1"/>
    <col min="14536" max="14538" width="9.140625" style="12" customWidth="1"/>
    <col min="14539" max="14539" width="1" style="12" customWidth="1"/>
    <col min="14540" max="14540" width="1.28515625" style="12" customWidth="1"/>
    <col min="14541" max="14549" width="9.140625" style="12" customWidth="1"/>
    <col min="14550" max="14550" width="0.42578125" style="12" customWidth="1"/>
    <col min="14551" max="14555" width="1" style="12" customWidth="1"/>
    <col min="14556" max="14556" width="0.85546875" style="12" customWidth="1"/>
    <col min="14557" max="14566" width="1" style="12" customWidth="1"/>
    <col min="14567" max="14567" width="1.28515625" style="12" customWidth="1"/>
    <col min="14568" max="14576" width="9.140625" style="12" customWidth="1"/>
    <col min="14577" max="14577" width="0.42578125" style="12" customWidth="1"/>
    <col min="14578" max="14580" width="9.140625" style="12" customWidth="1"/>
    <col min="14581" max="14581" width="1.140625" style="12" customWidth="1"/>
    <col min="14582" max="14584" width="9.140625" style="12" customWidth="1"/>
    <col min="14585" max="14585" width="1" style="12" customWidth="1"/>
    <col min="14586" max="14588" width="9.140625" style="12" customWidth="1"/>
    <col min="14589" max="14589" width="1.140625" style="12" customWidth="1"/>
    <col min="14590" max="14592" width="9.140625" style="12" customWidth="1"/>
    <col min="14593" max="14593" width="1.140625" style="12" customWidth="1"/>
    <col min="14594" max="14594" width="1.28515625" style="12" customWidth="1"/>
    <col min="14595" max="14603" width="9.140625" style="12" customWidth="1"/>
    <col min="14604" max="14736" width="9.140625" style="12"/>
    <col min="14737" max="14737" width="9.140625" style="12" customWidth="1"/>
    <col min="14738" max="14738" width="0.7109375" style="12" customWidth="1"/>
    <col min="14739" max="14739" width="0.85546875" style="12" customWidth="1"/>
    <col min="14740" max="14742" width="9.140625" style="12" customWidth="1"/>
    <col min="14743" max="14743" width="5.5703125" style="12" customWidth="1"/>
    <col min="14744" max="14744" width="2" style="12" customWidth="1"/>
    <col min="14745" max="14745" width="1.5703125" style="12" customWidth="1"/>
    <col min="14746" max="14778" width="9.140625" style="12" customWidth="1"/>
    <col min="14779" max="14779" width="0.28515625" style="12" customWidth="1"/>
    <col min="14780" max="14782" width="9.140625" style="12" customWidth="1"/>
    <col min="14783" max="14783" width="1" style="12" customWidth="1"/>
    <col min="14784" max="14786" width="9.140625" style="12" customWidth="1"/>
    <col min="14787" max="14787" width="1" style="12" customWidth="1"/>
    <col min="14788" max="14790" width="9.140625" style="12" customWidth="1"/>
    <col min="14791" max="14791" width="1" style="12" customWidth="1"/>
    <col min="14792" max="14794" width="9.140625" style="12" customWidth="1"/>
    <col min="14795" max="14795" width="1" style="12" customWidth="1"/>
    <col min="14796" max="14796" width="1.28515625" style="12" customWidth="1"/>
    <col min="14797" max="14805" width="9.140625" style="12" customWidth="1"/>
    <col min="14806" max="14806" width="0.42578125" style="12" customWidth="1"/>
    <col min="14807" max="14811" width="1" style="12" customWidth="1"/>
    <col min="14812" max="14812" width="0.85546875" style="12" customWidth="1"/>
    <col min="14813" max="14822" width="1" style="12" customWidth="1"/>
    <col min="14823" max="14823" width="1.28515625" style="12" customWidth="1"/>
    <col min="14824" max="14832" width="9.140625" style="12" customWidth="1"/>
    <col min="14833" max="14833" width="0.42578125" style="12" customWidth="1"/>
    <col min="14834" max="14836" width="9.140625" style="12" customWidth="1"/>
    <col min="14837" max="14837" width="1.140625" style="12" customWidth="1"/>
    <col min="14838" max="14840" width="9.140625" style="12" customWidth="1"/>
    <col min="14841" max="14841" width="1" style="12" customWidth="1"/>
    <col min="14842" max="14844" width="9.140625" style="12" customWidth="1"/>
    <col min="14845" max="14845" width="1.140625" style="12" customWidth="1"/>
    <col min="14846" max="14848" width="9.140625" style="12" customWidth="1"/>
    <col min="14849" max="14849" width="1.140625" style="12" customWidth="1"/>
    <col min="14850" max="14850" width="1.28515625" style="12" customWidth="1"/>
    <col min="14851" max="14859" width="9.140625" style="12" customWidth="1"/>
    <col min="14860" max="14992" width="9.140625" style="12"/>
    <col min="14993" max="14993" width="9.140625" style="12" customWidth="1"/>
    <col min="14994" max="14994" width="0.7109375" style="12" customWidth="1"/>
    <col min="14995" max="14995" width="0.85546875" style="12" customWidth="1"/>
    <col min="14996" max="14998" width="9.140625" style="12" customWidth="1"/>
    <col min="14999" max="14999" width="5.5703125" style="12" customWidth="1"/>
    <col min="15000" max="15000" width="2" style="12" customWidth="1"/>
    <col min="15001" max="15001" width="1.5703125" style="12" customWidth="1"/>
    <col min="15002" max="15034" width="9.140625" style="12" customWidth="1"/>
    <col min="15035" max="15035" width="0.28515625" style="12" customWidth="1"/>
    <col min="15036" max="15038" width="9.140625" style="12" customWidth="1"/>
    <col min="15039" max="15039" width="1" style="12" customWidth="1"/>
    <col min="15040" max="15042" width="9.140625" style="12" customWidth="1"/>
    <col min="15043" max="15043" width="1" style="12" customWidth="1"/>
    <col min="15044" max="15046" width="9.140625" style="12" customWidth="1"/>
    <col min="15047" max="15047" width="1" style="12" customWidth="1"/>
    <col min="15048" max="15050" width="9.140625" style="12" customWidth="1"/>
    <col min="15051" max="15051" width="1" style="12" customWidth="1"/>
    <col min="15052" max="15052" width="1.28515625" style="12" customWidth="1"/>
    <col min="15053" max="15061" width="9.140625" style="12" customWidth="1"/>
    <col min="15062" max="15062" width="0.42578125" style="12" customWidth="1"/>
    <col min="15063" max="15067" width="1" style="12" customWidth="1"/>
    <col min="15068" max="15068" width="0.85546875" style="12" customWidth="1"/>
    <col min="15069" max="15078" width="1" style="12" customWidth="1"/>
    <col min="15079" max="15079" width="1.28515625" style="12" customWidth="1"/>
    <col min="15080" max="15088" width="9.140625" style="12" customWidth="1"/>
    <col min="15089" max="15089" width="0.42578125" style="12" customWidth="1"/>
    <col min="15090" max="15092" width="9.140625" style="12" customWidth="1"/>
    <col min="15093" max="15093" width="1.140625" style="12" customWidth="1"/>
    <col min="15094" max="15096" width="9.140625" style="12" customWidth="1"/>
    <col min="15097" max="15097" width="1" style="12" customWidth="1"/>
    <col min="15098" max="15100" width="9.140625" style="12" customWidth="1"/>
    <col min="15101" max="15101" width="1.140625" style="12" customWidth="1"/>
    <col min="15102" max="15104" width="9.140625" style="12" customWidth="1"/>
    <col min="15105" max="15105" width="1.140625" style="12" customWidth="1"/>
    <col min="15106" max="15106" width="1.28515625" style="12" customWidth="1"/>
    <col min="15107" max="15115" width="9.140625" style="12" customWidth="1"/>
    <col min="15116" max="15248" width="9.140625" style="12"/>
    <col min="15249" max="15249" width="9.140625" style="12" customWidth="1"/>
    <col min="15250" max="15250" width="0.7109375" style="12" customWidth="1"/>
    <col min="15251" max="15251" width="0.85546875" style="12" customWidth="1"/>
    <col min="15252" max="15254" width="9.140625" style="12" customWidth="1"/>
    <col min="15255" max="15255" width="5.5703125" style="12" customWidth="1"/>
    <col min="15256" max="15256" width="2" style="12" customWidth="1"/>
    <col min="15257" max="15257" width="1.5703125" style="12" customWidth="1"/>
    <col min="15258" max="15290" width="9.140625" style="12" customWidth="1"/>
    <col min="15291" max="15291" width="0.28515625" style="12" customWidth="1"/>
    <col min="15292" max="15294" width="9.140625" style="12" customWidth="1"/>
    <col min="15295" max="15295" width="1" style="12" customWidth="1"/>
    <col min="15296" max="15298" width="9.140625" style="12" customWidth="1"/>
    <col min="15299" max="15299" width="1" style="12" customWidth="1"/>
    <col min="15300" max="15302" width="9.140625" style="12" customWidth="1"/>
    <col min="15303" max="15303" width="1" style="12" customWidth="1"/>
    <col min="15304" max="15306" width="9.140625" style="12" customWidth="1"/>
    <col min="15307" max="15307" width="1" style="12" customWidth="1"/>
    <col min="15308" max="15308" width="1.28515625" style="12" customWidth="1"/>
    <col min="15309" max="15317" width="9.140625" style="12" customWidth="1"/>
    <col min="15318" max="15318" width="0.42578125" style="12" customWidth="1"/>
    <col min="15319" max="15323" width="1" style="12" customWidth="1"/>
    <col min="15324" max="15324" width="0.85546875" style="12" customWidth="1"/>
    <col min="15325" max="15334" width="1" style="12" customWidth="1"/>
    <col min="15335" max="15335" width="1.28515625" style="12" customWidth="1"/>
    <col min="15336" max="15344" width="9.140625" style="12" customWidth="1"/>
    <col min="15345" max="15345" width="0.42578125" style="12" customWidth="1"/>
    <col min="15346" max="15348" width="9.140625" style="12" customWidth="1"/>
    <col min="15349" max="15349" width="1.140625" style="12" customWidth="1"/>
    <col min="15350" max="15352" width="9.140625" style="12" customWidth="1"/>
    <col min="15353" max="15353" width="1" style="12" customWidth="1"/>
    <col min="15354" max="15356" width="9.140625" style="12" customWidth="1"/>
    <col min="15357" max="15357" width="1.140625" style="12" customWidth="1"/>
    <col min="15358" max="15360" width="9.140625" style="12" customWidth="1"/>
    <col min="15361" max="15361" width="1.140625" style="12" customWidth="1"/>
    <col min="15362" max="15362" width="1.28515625" style="12" customWidth="1"/>
    <col min="15363" max="15371" width="9.140625" style="12" customWidth="1"/>
    <col min="15372" max="15504" width="9.140625" style="12"/>
    <col min="15505" max="15505" width="9.140625" style="12" customWidth="1"/>
    <col min="15506" max="15506" width="0.7109375" style="12" customWidth="1"/>
    <col min="15507" max="15507" width="0.85546875" style="12" customWidth="1"/>
    <col min="15508" max="15510" width="9.140625" style="12" customWidth="1"/>
    <col min="15511" max="15511" width="5.5703125" style="12" customWidth="1"/>
    <col min="15512" max="15512" width="2" style="12" customWidth="1"/>
    <col min="15513" max="15513" width="1.5703125" style="12" customWidth="1"/>
    <col min="15514" max="15546" width="9.140625" style="12" customWidth="1"/>
    <col min="15547" max="15547" width="0.28515625" style="12" customWidth="1"/>
    <col min="15548" max="15550" width="9.140625" style="12" customWidth="1"/>
    <col min="15551" max="15551" width="1" style="12" customWidth="1"/>
    <col min="15552" max="15554" width="9.140625" style="12" customWidth="1"/>
    <col min="15555" max="15555" width="1" style="12" customWidth="1"/>
    <col min="15556" max="15558" width="9.140625" style="12" customWidth="1"/>
    <col min="15559" max="15559" width="1" style="12" customWidth="1"/>
    <col min="15560" max="15562" width="9.140625" style="12" customWidth="1"/>
    <col min="15563" max="15563" width="1" style="12" customWidth="1"/>
    <col min="15564" max="15564" width="1.28515625" style="12" customWidth="1"/>
    <col min="15565" max="15573" width="9.140625" style="12" customWidth="1"/>
    <col min="15574" max="15574" width="0.42578125" style="12" customWidth="1"/>
    <col min="15575" max="15579" width="1" style="12" customWidth="1"/>
    <col min="15580" max="15580" width="0.85546875" style="12" customWidth="1"/>
    <col min="15581" max="15590" width="1" style="12" customWidth="1"/>
    <col min="15591" max="15591" width="1.28515625" style="12" customWidth="1"/>
    <col min="15592" max="15600" width="9.140625" style="12" customWidth="1"/>
    <col min="15601" max="15601" width="0.42578125" style="12" customWidth="1"/>
    <col min="15602" max="15604" width="9.140625" style="12" customWidth="1"/>
    <col min="15605" max="15605" width="1.140625" style="12" customWidth="1"/>
    <col min="15606" max="15608" width="9.140625" style="12" customWidth="1"/>
    <col min="15609" max="15609" width="1" style="12" customWidth="1"/>
    <col min="15610" max="15612" width="9.140625" style="12" customWidth="1"/>
    <col min="15613" max="15613" width="1.140625" style="12" customWidth="1"/>
    <col min="15614" max="15616" width="9.140625" style="12" customWidth="1"/>
    <col min="15617" max="15617" width="1.140625" style="12" customWidth="1"/>
    <col min="15618" max="15618" width="1.28515625" style="12" customWidth="1"/>
    <col min="15619" max="15627" width="9.140625" style="12" customWidth="1"/>
    <col min="15628" max="15760" width="9.140625" style="12"/>
    <col min="15761" max="15761" width="9.140625" style="12" customWidth="1"/>
    <col min="15762" max="15762" width="0.7109375" style="12" customWidth="1"/>
    <col min="15763" max="15763" width="0.85546875" style="12" customWidth="1"/>
    <col min="15764" max="15766" width="9.140625" style="12" customWidth="1"/>
    <col min="15767" max="15767" width="5.5703125" style="12" customWidth="1"/>
    <col min="15768" max="15768" width="2" style="12" customWidth="1"/>
    <col min="15769" max="15769" width="1.5703125" style="12" customWidth="1"/>
    <col min="15770" max="15802" width="9.140625" style="12" customWidth="1"/>
    <col min="15803" max="15803" width="0.28515625" style="12" customWidth="1"/>
    <col min="15804" max="15806" width="9.140625" style="12" customWidth="1"/>
    <col min="15807" max="15807" width="1" style="12" customWidth="1"/>
    <col min="15808" max="15810" width="9.140625" style="12" customWidth="1"/>
    <col min="15811" max="15811" width="1" style="12" customWidth="1"/>
    <col min="15812" max="15814" width="9.140625" style="12" customWidth="1"/>
    <col min="15815" max="15815" width="1" style="12" customWidth="1"/>
    <col min="15816" max="15818" width="9.140625" style="12" customWidth="1"/>
    <col min="15819" max="15819" width="1" style="12" customWidth="1"/>
    <col min="15820" max="15820" width="1.28515625" style="12" customWidth="1"/>
    <col min="15821" max="15829" width="9.140625" style="12" customWidth="1"/>
    <col min="15830" max="15830" width="0.42578125" style="12" customWidth="1"/>
    <col min="15831" max="15835" width="1" style="12" customWidth="1"/>
    <col min="15836" max="15836" width="0.85546875" style="12" customWidth="1"/>
    <col min="15837" max="15846" width="1" style="12" customWidth="1"/>
    <col min="15847" max="15847" width="1.28515625" style="12" customWidth="1"/>
    <col min="15848" max="15856" width="9.140625" style="12" customWidth="1"/>
    <col min="15857" max="15857" width="0.42578125" style="12" customWidth="1"/>
    <col min="15858" max="15860" width="9.140625" style="12" customWidth="1"/>
    <col min="15861" max="15861" width="1.140625" style="12" customWidth="1"/>
    <col min="15862" max="15864" width="9.140625" style="12" customWidth="1"/>
    <col min="15865" max="15865" width="1" style="12" customWidth="1"/>
    <col min="15866" max="15868" width="9.140625" style="12" customWidth="1"/>
    <col min="15869" max="15869" width="1.140625" style="12" customWidth="1"/>
    <col min="15870" max="15872" width="9.140625" style="12" customWidth="1"/>
    <col min="15873" max="15873" width="1.140625" style="12" customWidth="1"/>
    <col min="15874" max="15874" width="1.28515625" style="12" customWidth="1"/>
    <col min="15875" max="15883" width="9.140625" style="12" customWidth="1"/>
    <col min="15884" max="16016" width="9.140625" style="12"/>
    <col min="16017" max="16017" width="9.140625" style="12" customWidth="1"/>
    <col min="16018" max="16018" width="0.7109375" style="12" customWidth="1"/>
    <col min="16019" max="16019" width="0.85546875" style="12" customWidth="1"/>
    <col min="16020" max="16022" width="9.140625" style="12" customWidth="1"/>
    <col min="16023" max="16023" width="5.5703125" style="12" customWidth="1"/>
    <col min="16024" max="16024" width="2" style="12" customWidth="1"/>
    <col min="16025" max="16025" width="1.5703125" style="12" customWidth="1"/>
    <col min="16026" max="16058" width="9.140625" style="12" customWidth="1"/>
    <col min="16059" max="16059" width="0.28515625" style="12" customWidth="1"/>
    <col min="16060" max="16062" width="9.140625" style="12" customWidth="1"/>
    <col min="16063" max="16063" width="1" style="12" customWidth="1"/>
    <col min="16064" max="16066" width="9.140625" style="12" customWidth="1"/>
    <col min="16067" max="16067" width="1" style="12" customWidth="1"/>
    <col min="16068" max="16070" width="9.140625" style="12" customWidth="1"/>
    <col min="16071" max="16071" width="1" style="12" customWidth="1"/>
    <col min="16072" max="16074" width="9.140625" style="12" customWidth="1"/>
    <col min="16075" max="16075" width="1" style="12" customWidth="1"/>
    <col min="16076" max="16076" width="1.28515625" style="12" customWidth="1"/>
    <col min="16077" max="16085" width="9.140625" style="12" customWidth="1"/>
    <col min="16086" max="16086" width="0.42578125" style="12" customWidth="1"/>
    <col min="16087" max="16091" width="1" style="12" customWidth="1"/>
    <col min="16092" max="16092" width="0.85546875" style="12" customWidth="1"/>
    <col min="16093" max="16102" width="1" style="12" customWidth="1"/>
    <col min="16103" max="16103" width="1.28515625" style="12" customWidth="1"/>
    <col min="16104" max="16112" width="9.140625" style="12" customWidth="1"/>
    <col min="16113" max="16113" width="0.42578125" style="12" customWidth="1"/>
    <col min="16114" max="16116" width="9.140625" style="12" customWidth="1"/>
    <col min="16117" max="16117" width="1.140625" style="12" customWidth="1"/>
    <col min="16118" max="16120" width="9.140625" style="12" customWidth="1"/>
    <col min="16121" max="16121" width="1" style="12" customWidth="1"/>
    <col min="16122" max="16124" width="9.140625" style="12" customWidth="1"/>
    <col min="16125" max="16125" width="1.140625" style="12" customWidth="1"/>
    <col min="16126" max="16128" width="9.140625" style="12" customWidth="1"/>
    <col min="16129" max="16129" width="1.140625" style="12" customWidth="1"/>
    <col min="16130" max="16130" width="1.28515625" style="12" customWidth="1"/>
    <col min="16131" max="16139" width="9.140625" style="12" customWidth="1"/>
    <col min="16140" max="16384" width="9.140625" style="12"/>
  </cols>
  <sheetData>
    <row r="1" spans="1:39" ht="12" hidden="1" customHeight="1" x14ac:dyDescent="0.25">
      <c r="H1" s="107"/>
      <c r="AM1" s="12"/>
    </row>
    <row r="2" spans="1:39" ht="15" hidden="1" customHeight="1" x14ac:dyDescent="0.25">
      <c r="H2" s="107"/>
      <c r="AM2" s="12"/>
    </row>
    <row r="3" spans="1:39" s="17" customFormat="1" ht="27" customHeight="1" x14ac:dyDescent="0.25">
      <c r="A3" s="14"/>
      <c r="B3" s="15"/>
      <c r="C3" s="190"/>
      <c r="D3" s="191"/>
      <c r="E3" s="191"/>
      <c r="F3" s="185"/>
      <c r="G3" s="183"/>
      <c r="H3" s="108"/>
      <c r="I3" s="200" t="s">
        <v>322</v>
      </c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3"/>
    </row>
    <row r="4" spans="1:39" s="24" customFormat="1" ht="9" customHeight="1" x14ac:dyDescent="0.25">
      <c r="A4" s="18"/>
      <c r="B4" s="19"/>
      <c r="C4" s="192"/>
      <c r="D4" s="22"/>
      <c r="E4" s="193"/>
      <c r="F4" s="186"/>
      <c r="G4" s="20"/>
      <c r="H4" s="21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206"/>
      <c r="AD4" s="110"/>
      <c r="AE4" s="110"/>
      <c r="AF4" s="110"/>
      <c r="AG4" s="110"/>
      <c r="AH4" s="110"/>
      <c r="AI4" s="110"/>
      <c r="AJ4" s="110"/>
      <c r="AK4" s="110"/>
      <c r="AL4" s="110"/>
      <c r="AM4" s="23"/>
    </row>
    <row r="5" spans="1:39" s="11" customFormat="1" ht="48" customHeight="1" x14ac:dyDescent="0.25">
      <c r="A5" s="25" t="s">
        <v>12</v>
      </c>
      <c r="B5" s="26" t="s">
        <v>283</v>
      </c>
      <c r="C5" s="194" t="s">
        <v>0</v>
      </c>
      <c r="D5" s="195" t="s">
        <v>1</v>
      </c>
      <c r="E5" s="190" t="s">
        <v>291</v>
      </c>
      <c r="F5" s="1" t="s">
        <v>2</v>
      </c>
      <c r="G5" s="2" t="s">
        <v>3</v>
      </c>
      <c r="H5" s="21"/>
      <c r="I5" s="111" t="s">
        <v>4</v>
      </c>
      <c r="J5" s="112" t="s">
        <v>5</v>
      </c>
      <c r="K5" s="113" t="s">
        <v>6</v>
      </c>
      <c r="L5" s="114" t="s">
        <v>7</v>
      </c>
      <c r="M5" s="111" t="s">
        <v>8</v>
      </c>
      <c r="N5" s="112" t="s">
        <v>9</v>
      </c>
      <c r="O5" s="112" t="s">
        <v>10</v>
      </c>
      <c r="P5" s="114" t="s">
        <v>11</v>
      </c>
      <c r="Q5" s="112" t="s">
        <v>13</v>
      </c>
      <c r="R5" s="112" t="s">
        <v>14</v>
      </c>
      <c r="S5" s="112" t="s">
        <v>15</v>
      </c>
      <c r="T5" s="114" t="s">
        <v>16</v>
      </c>
      <c r="U5" s="112" t="s">
        <v>17</v>
      </c>
      <c r="V5" s="112" t="s">
        <v>18</v>
      </c>
      <c r="W5" s="112" t="s">
        <v>19</v>
      </c>
      <c r="X5" s="114" t="s">
        <v>20</v>
      </c>
      <c r="Y5" s="112" t="s">
        <v>213</v>
      </c>
      <c r="Z5" s="112" t="s">
        <v>214</v>
      </c>
      <c r="AA5" s="112" t="s">
        <v>215</v>
      </c>
      <c r="AB5" s="115" t="s">
        <v>216</v>
      </c>
      <c r="AC5" s="207" t="s">
        <v>267</v>
      </c>
      <c r="AD5" s="116" t="s">
        <v>217</v>
      </c>
      <c r="AE5" s="117" t="s">
        <v>218</v>
      </c>
      <c r="AF5" s="117" t="s">
        <v>219</v>
      </c>
      <c r="AG5" s="118" t="s">
        <v>220</v>
      </c>
      <c r="AH5" s="117" t="s">
        <v>268</v>
      </c>
      <c r="AI5" s="117" t="s">
        <v>269</v>
      </c>
      <c r="AJ5" s="117" t="s">
        <v>270</v>
      </c>
      <c r="AK5" s="118" t="s">
        <v>271</v>
      </c>
      <c r="AL5" s="118" t="s">
        <v>272</v>
      </c>
      <c r="AM5" s="102"/>
    </row>
    <row r="6" spans="1:39" s="33" customFormat="1" ht="14.25" customHeight="1" x14ac:dyDescent="0.25">
      <c r="A6" s="9"/>
      <c r="B6" s="187">
        <v>1</v>
      </c>
      <c r="C6" s="197"/>
      <c r="D6" s="188" t="s">
        <v>21</v>
      </c>
      <c r="E6" s="189" t="s">
        <v>22</v>
      </c>
      <c r="F6" s="27"/>
      <c r="G6" s="27"/>
      <c r="H6" s="105"/>
      <c r="I6" s="119"/>
      <c r="J6" s="120"/>
      <c r="K6" s="121"/>
      <c r="L6" s="122"/>
      <c r="M6" s="119"/>
      <c r="N6" s="120"/>
      <c r="O6" s="123"/>
      <c r="P6" s="122"/>
      <c r="Q6" s="120"/>
      <c r="R6" s="120"/>
      <c r="S6" s="123"/>
      <c r="T6" s="122"/>
      <c r="U6" s="120"/>
      <c r="V6" s="120"/>
      <c r="W6" s="123"/>
      <c r="X6" s="122"/>
      <c r="Y6" s="120"/>
      <c r="Z6" s="123"/>
      <c r="AA6" s="120"/>
      <c r="AB6" s="124"/>
      <c r="AC6" s="208"/>
      <c r="AD6" s="28"/>
      <c r="AE6" s="29"/>
      <c r="AF6" s="31"/>
      <c r="AG6" s="30"/>
      <c r="AH6" s="29"/>
      <c r="AI6" s="29"/>
      <c r="AJ6" s="31"/>
      <c r="AK6" s="30"/>
      <c r="AL6" s="30"/>
      <c r="AM6" s="32"/>
    </row>
    <row r="7" spans="1:39" ht="15" customHeight="1" x14ac:dyDescent="0.25">
      <c r="A7" s="104" t="e">
        <f>+#REF!</f>
        <v>#REF!</v>
      </c>
      <c r="B7" s="103">
        <v>2</v>
      </c>
      <c r="C7" s="196" t="s">
        <v>23</v>
      </c>
      <c r="D7" s="35" t="s">
        <v>24</v>
      </c>
      <c r="E7" s="37" t="s">
        <v>28</v>
      </c>
      <c r="F7" s="36" t="s">
        <v>26</v>
      </c>
      <c r="G7" s="36" t="s">
        <v>29</v>
      </c>
      <c r="I7" s="125">
        <v>282.06109999999995</v>
      </c>
      <c r="J7" s="126"/>
      <c r="K7" s="127"/>
      <c r="L7" s="128">
        <f t="shared" ref="L7:L38" si="0">+I7+J7+K7</f>
        <v>282.06109999999995</v>
      </c>
      <c r="M7" s="125">
        <v>296</v>
      </c>
      <c r="N7" s="126"/>
      <c r="O7" s="127">
        <v>160</v>
      </c>
      <c r="P7" s="128">
        <f t="shared" ref="P7:P34" si="1">+M7+N7+O7</f>
        <v>456</v>
      </c>
      <c r="Q7" s="125">
        <v>296</v>
      </c>
      <c r="R7" s="126"/>
      <c r="S7" s="127">
        <v>160</v>
      </c>
      <c r="T7" s="128">
        <f t="shared" ref="T7:T34" si="2">+Q7+R7+S7</f>
        <v>456</v>
      </c>
      <c r="U7" s="125">
        <v>296</v>
      </c>
      <c r="V7" s="126"/>
      <c r="W7" s="127">
        <v>160</v>
      </c>
      <c r="X7" s="128">
        <f t="shared" ref="X7:X34" si="3">+U7+V7+W7</f>
        <v>456</v>
      </c>
      <c r="Y7" s="125">
        <v>296</v>
      </c>
      <c r="Z7" s="126"/>
      <c r="AA7" s="127">
        <v>160</v>
      </c>
      <c r="AB7" s="129">
        <f t="shared" ref="AB7:AB34" si="4">+Y7+Z7+AA7</f>
        <v>456</v>
      </c>
      <c r="AC7" s="209">
        <f t="shared" ref="AC7:AC34" si="5">+AB7+X7+P7+T7</f>
        <v>1824</v>
      </c>
      <c r="AD7" s="130">
        <v>296</v>
      </c>
      <c r="AE7" s="131"/>
      <c r="AF7" s="132">
        <v>160</v>
      </c>
      <c r="AG7" s="133">
        <f t="shared" ref="AG7:AG34" si="6">+AD7+AE7+AF7</f>
        <v>456</v>
      </c>
      <c r="AH7" s="130">
        <v>296</v>
      </c>
      <c r="AI7" s="131"/>
      <c r="AJ7" s="132">
        <v>160</v>
      </c>
      <c r="AK7" s="133">
        <f t="shared" ref="AK7:AK34" si="7">+AH7+AI7+AJ7</f>
        <v>456</v>
      </c>
      <c r="AL7" s="133">
        <f t="shared" ref="AL7:AL34" si="8">+AK7+AG7</f>
        <v>912</v>
      </c>
      <c r="AM7" s="38"/>
    </row>
    <row r="8" spans="1:39" ht="15" customHeight="1" x14ac:dyDescent="0.25">
      <c r="A8" s="104" t="e">
        <f>+#REF!</f>
        <v>#REF!</v>
      </c>
      <c r="B8" s="103">
        <v>3</v>
      </c>
      <c r="C8" s="196" t="s">
        <v>27</v>
      </c>
      <c r="D8" s="35" t="s">
        <v>24</v>
      </c>
      <c r="E8" s="37" t="s">
        <v>202</v>
      </c>
      <c r="F8" s="36" t="s">
        <v>26</v>
      </c>
      <c r="G8" s="36" t="s">
        <v>57</v>
      </c>
      <c r="I8" s="125"/>
      <c r="K8" s="126">
        <v>434.47199999999998</v>
      </c>
      <c r="L8" s="128">
        <f t="shared" si="0"/>
        <v>434.47199999999998</v>
      </c>
      <c r="M8" s="125">
        <v>1733.1</v>
      </c>
      <c r="O8" s="126">
        <v>2314.4</v>
      </c>
      <c r="P8" s="128">
        <f t="shared" si="1"/>
        <v>4047.5</v>
      </c>
      <c r="Q8" s="125">
        <v>250</v>
      </c>
      <c r="R8" s="126"/>
      <c r="S8" s="126">
        <v>1000</v>
      </c>
      <c r="T8" s="128">
        <f t="shared" si="2"/>
        <v>1250</v>
      </c>
      <c r="U8" s="125">
        <v>250</v>
      </c>
      <c r="V8" s="126"/>
      <c r="W8" s="134">
        <v>1000</v>
      </c>
      <c r="X8" s="128">
        <f t="shared" si="3"/>
        <v>1250</v>
      </c>
      <c r="Y8" s="125">
        <v>250</v>
      </c>
      <c r="Z8" s="126"/>
      <c r="AA8" s="134">
        <v>1000</v>
      </c>
      <c r="AB8" s="129">
        <f t="shared" si="4"/>
        <v>1250</v>
      </c>
      <c r="AC8" s="209">
        <f t="shared" si="5"/>
        <v>7797.5</v>
      </c>
      <c r="AD8" s="130">
        <v>250</v>
      </c>
      <c r="AE8" s="131"/>
      <c r="AF8" s="135">
        <v>1000</v>
      </c>
      <c r="AG8" s="133">
        <f t="shared" si="6"/>
        <v>1250</v>
      </c>
      <c r="AH8" s="130">
        <v>250</v>
      </c>
      <c r="AI8" s="131"/>
      <c r="AJ8" s="135">
        <v>1000</v>
      </c>
      <c r="AK8" s="133">
        <f t="shared" si="7"/>
        <v>1250</v>
      </c>
      <c r="AL8" s="133">
        <f t="shared" si="8"/>
        <v>2500</v>
      </c>
      <c r="AM8" s="38"/>
    </row>
    <row r="9" spans="1:39" ht="15" customHeight="1" x14ac:dyDescent="0.25">
      <c r="A9" s="104" t="e">
        <f>+#REF!</f>
        <v>#REF!</v>
      </c>
      <c r="B9" s="103">
        <v>4</v>
      </c>
      <c r="C9" s="196" t="s">
        <v>30</v>
      </c>
      <c r="D9" s="35" t="s">
        <v>24</v>
      </c>
      <c r="E9" s="37" t="s">
        <v>288</v>
      </c>
      <c r="F9" s="36" t="s">
        <v>26</v>
      </c>
      <c r="G9" s="36" t="s">
        <v>25</v>
      </c>
      <c r="I9" s="125">
        <f>342.275+270.965</f>
        <v>613.24</v>
      </c>
      <c r="J9" s="126"/>
      <c r="K9" s="127">
        <f>700.522+811.49+625</f>
        <v>2137.0120000000002</v>
      </c>
      <c r="L9" s="128">
        <f t="shared" si="0"/>
        <v>2750.2520000000004</v>
      </c>
      <c r="M9" s="125">
        <f>900+1100</f>
        <v>2000</v>
      </c>
      <c r="N9" s="126"/>
      <c r="O9" s="134">
        <f>2400+3200+624.883</f>
        <v>6224.8829999999998</v>
      </c>
      <c r="P9" s="128">
        <f t="shared" si="1"/>
        <v>8224.8829999999998</v>
      </c>
      <c r="Q9" s="125">
        <f>900+1100</f>
        <v>2000</v>
      </c>
      <c r="R9" s="126"/>
      <c r="S9" s="134">
        <f>2400+3200</f>
        <v>5600</v>
      </c>
      <c r="T9" s="128">
        <f t="shared" si="2"/>
        <v>7600</v>
      </c>
      <c r="U9" s="125">
        <v>2000</v>
      </c>
      <c r="V9" s="126"/>
      <c r="W9" s="134">
        <v>5600</v>
      </c>
      <c r="X9" s="128">
        <f t="shared" si="3"/>
        <v>7600</v>
      </c>
      <c r="Y9" s="125">
        <v>2000</v>
      </c>
      <c r="Z9" s="126"/>
      <c r="AA9" s="134">
        <f>2400+2560</f>
        <v>4960</v>
      </c>
      <c r="AB9" s="129">
        <f t="shared" si="4"/>
        <v>6960</v>
      </c>
      <c r="AC9" s="209">
        <f t="shared" si="5"/>
        <v>30384.883000000002</v>
      </c>
      <c r="AD9" s="130">
        <v>1750</v>
      </c>
      <c r="AE9" s="131"/>
      <c r="AF9" s="135">
        <v>3960</v>
      </c>
      <c r="AG9" s="133">
        <f t="shared" si="6"/>
        <v>5710</v>
      </c>
      <c r="AH9" s="130">
        <v>1750</v>
      </c>
      <c r="AI9" s="131"/>
      <c r="AJ9" s="135">
        <v>3960</v>
      </c>
      <c r="AK9" s="133">
        <f t="shared" si="7"/>
        <v>5710</v>
      </c>
      <c r="AL9" s="133">
        <f t="shared" si="8"/>
        <v>11420</v>
      </c>
      <c r="AM9" s="38"/>
    </row>
    <row r="10" spans="1:39" ht="15" customHeight="1" x14ac:dyDescent="0.25">
      <c r="A10" s="104" t="e">
        <f>+#REF!</f>
        <v>#REF!</v>
      </c>
      <c r="B10" s="103">
        <v>5</v>
      </c>
      <c r="C10" s="196" t="s">
        <v>31</v>
      </c>
      <c r="D10" s="35" t="s">
        <v>24</v>
      </c>
      <c r="E10" s="37" t="s">
        <v>32</v>
      </c>
      <c r="F10" s="36" t="s">
        <v>33</v>
      </c>
      <c r="G10" s="36" t="s">
        <v>25</v>
      </c>
      <c r="I10" s="125">
        <v>94.947999999999993</v>
      </c>
      <c r="J10" s="126"/>
      <c r="K10" s="127">
        <v>518.18499999999995</v>
      </c>
      <c r="L10" s="128">
        <f t="shared" si="0"/>
        <v>613.13299999999992</v>
      </c>
      <c r="M10" s="125">
        <v>574.83500000000004</v>
      </c>
      <c r="N10" s="126"/>
      <c r="O10" s="134">
        <v>1000</v>
      </c>
      <c r="P10" s="128">
        <f t="shared" si="1"/>
        <v>1574.835</v>
      </c>
      <c r="Q10" s="125">
        <v>1516.691</v>
      </c>
      <c r="R10" s="126"/>
      <c r="S10" s="134">
        <v>2000</v>
      </c>
      <c r="T10" s="128">
        <f t="shared" si="2"/>
        <v>3516.6909999999998</v>
      </c>
      <c r="U10" s="125"/>
      <c r="V10" s="126"/>
      <c r="W10" s="134">
        <v>15000</v>
      </c>
      <c r="X10" s="128">
        <f t="shared" si="3"/>
        <v>15000</v>
      </c>
      <c r="Y10" s="125">
        <v>3000</v>
      </c>
      <c r="Z10" s="126"/>
      <c r="AA10" s="134">
        <v>12000</v>
      </c>
      <c r="AB10" s="129">
        <f t="shared" si="4"/>
        <v>15000</v>
      </c>
      <c r="AC10" s="209">
        <f t="shared" si="5"/>
        <v>35091.525999999998</v>
      </c>
      <c r="AD10" s="130">
        <v>3000</v>
      </c>
      <c r="AE10" s="131"/>
      <c r="AF10" s="135">
        <v>12000</v>
      </c>
      <c r="AG10" s="133">
        <f t="shared" si="6"/>
        <v>15000</v>
      </c>
      <c r="AH10" s="130">
        <v>3000</v>
      </c>
      <c r="AI10" s="131"/>
      <c r="AJ10" s="135">
        <v>12000</v>
      </c>
      <c r="AK10" s="133">
        <f t="shared" si="7"/>
        <v>15000</v>
      </c>
      <c r="AL10" s="133">
        <f t="shared" si="8"/>
        <v>30000</v>
      </c>
      <c r="AM10" s="38"/>
    </row>
    <row r="11" spans="1:39" ht="15" customHeight="1" x14ac:dyDescent="0.25">
      <c r="A11" s="104" t="e">
        <f>+#REF!</f>
        <v>#REF!</v>
      </c>
      <c r="B11" s="103">
        <v>6</v>
      </c>
      <c r="C11" s="196" t="s">
        <v>34</v>
      </c>
      <c r="D11" s="35" t="s">
        <v>24</v>
      </c>
      <c r="E11" s="37" t="s">
        <v>35</v>
      </c>
      <c r="F11" s="36" t="s">
        <v>33</v>
      </c>
      <c r="G11" s="36" t="s">
        <v>36</v>
      </c>
      <c r="I11" s="125">
        <v>1400.94</v>
      </c>
      <c r="J11" s="126"/>
      <c r="K11" s="127"/>
      <c r="L11" s="128">
        <f t="shared" si="0"/>
        <v>1400.94</v>
      </c>
      <c r="M11" s="125">
        <v>13375</v>
      </c>
      <c r="N11" s="126"/>
      <c r="O11" s="134"/>
      <c r="P11" s="128">
        <f t="shared" si="1"/>
        <v>13375</v>
      </c>
      <c r="Q11" s="125">
        <v>8375</v>
      </c>
      <c r="R11" s="126"/>
      <c r="S11" s="134"/>
      <c r="T11" s="128">
        <f t="shared" si="2"/>
        <v>8375</v>
      </c>
      <c r="U11" s="125">
        <v>13375</v>
      </c>
      <c r="V11" s="126"/>
      <c r="W11" s="134"/>
      <c r="X11" s="128">
        <f t="shared" si="3"/>
        <v>13375</v>
      </c>
      <c r="Y11" s="125">
        <v>8375</v>
      </c>
      <c r="Z11" s="126"/>
      <c r="AA11" s="134"/>
      <c r="AB11" s="129">
        <f t="shared" si="4"/>
        <v>8375</v>
      </c>
      <c r="AC11" s="209">
        <f t="shared" si="5"/>
        <v>43500</v>
      </c>
      <c r="AD11" s="130">
        <v>13375</v>
      </c>
      <c r="AE11" s="131"/>
      <c r="AF11" s="135"/>
      <c r="AG11" s="133">
        <f t="shared" si="6"/>
        <v>13375</v>
      </c>
      <c r="AH11" s="130">
        <v>8375</v>
      </c>
      <c r="AI11" s="131"/>
      <c r="AJ11" s="135"/>
      <c r="AK11" s="133">
        <f t="shared" si="7"/>
        <v>8375</v>
      </c>
      <c r="AL11" s="133">
        <f t="shared" si="8"/>
        <v>21750</v>
      </c>
      <c r="AM11" s="38"/>
    </row>
    <row r="12" spans="1:39" ht="15" customHeight="1" x14ac:dyDescent="0.25">
      <c r="A12" s="104" t="e">
        <f>+#REF!</f>
        <v>#REF!</v>
      </c>
      <c r="B12" s="103">
        <v>7</v>
      </c>
      <c r="C12" s="196" t="s">
        <v>42</v>
      </c>
      <c r="D12" s="35" t="s">
        <v>24</v>
      </c>
      <c r="E12" s="39" t="s">
        <v>278</v>
      </c>
      <c r="F12" s="36" t="s">
        <v>33</v>
      </c>
      <c r="G12" s="36" t="s">
        <v>29</v>
      </c>
      <c r="I12" s="125"/>
      <c r="J12" s="126"/>
      <c r="K12" s="127"/>
      <c r="L12" s="128">
        <f t="shared" si="0"/>
        <v>0</v>
      </c>
      <c r="M12" s="125">
        <v>750</v>
      </c>
      <c r="N12" s="126">
        <v>2000</v>
      </c>
      <c r="O12" s="134"/>
      <c r="P12" s="128">
        <f t="shared" si="1"/>
        <v>2750</v>
      </c>
      <c r="Q12" s="125">
        <v>2750</v>
      </c>
      <c r="R12" s="126"/>
      <c r="S12" s="134"/>
      <c r="T12" s="128">
        <f t="shared" si="2"/>
        <v>2750</v>
      </c>
      <c r="U12" s="125">
        <v>2750</v>
      </c>
      <c r="V12" s="126"/>
      <c r="W12" s="134"/>
      <c r="X12" s="128">
        <f t="shared" si="3"/>
        <v>2750</v>
      </c>
      <c r="Y12" s="125">
        <v>2750</v>
      </c>
      <c r="Z12" s="126"/>
      <c r="AA12" s="134"/>
      <c r="AB12" s="129">
        <f t="shared" si="4"/>
        <v>2750</v>
      </c>
      <c r="AC12" s="209">
        <f t="shared" si="5"/>
        <v>11000</v>
      </c>
      <c r="AD12" s="130">
        <v>2750</v>
      </c>
      <c r="AE12" s="131"/>
      <c r="AF12" s="135"/>
      <c r="AG12" s="133">
        <f t="shared" si="6"/>
        <v>2750</v>
      </c>
      <c r="AH12" s="130">
        <v>2750</v>
      </c>
      <c r="AI12" s="131"/>
      <c r="AJ12" s="135"/>
      <c r="AK12" s="133">
        <f t="shared" si="7"/>
        <v>2750</v>
      </c>
      <c r="AL12" s="133">
        <f t="shared" si="8"/>
        <v>5500</v>
      </c>
      <c r="AM12" s="38"/>
    </row>
    <row r="13" spans="1:39" ht="15" customHeight="1" x14ac:dyDescent="0.25">
      <c r="A13" s="104" t="e">
        <f>+#REF!</f>
        <v>#REF!</v>
      </c>
      <c r="B13" s="103">
        <v>8</v>
      </c>
      <c r="C13" s="196" t="s">
        <v>37</v>
      </c>
      <c r="D13" s="35" t="s">
        <v>24</v>
      </c>
      <c r="E13" s="37" t="s">
        <v>247</v>
      </c>
      <c r="F13" s="36" t="s">
        <v>39</v>
      </c>
      <c r="G13" s="36" t="s">
        <v>38</v>
      </c>
      <c r="I13" s="125">
        <v>260.47399999999999</v>
      </c>
      <c r="J13" s="126">
        <v>45</v>
      </c>
      <c r="K13" s="127"/>
      <c r="L13" s="128">
        <f t="shared" si="0"/>
        <v>305.47399999999999</v>
      </c>
      <c r="M13" s="125"/>
      <c r="N13" s="126"/>
      <c r="O13" s="134"/>
      <c r="P13" s="128">
        <f t="shared" si="1"/>
        <v>0</v>
      </c>
      <c r="Q13" s="125"/>
      <c r="R13" s="126"/>
      <c r="S13" s="134"/>
      <c r="T13" s="128">
        <f t="shared" si="2"/>
        <v>0</v>
      </c>
      <c r="U13" s="125"/>
      <c r="V13" s="126"/>
      <c r="W13" s="134"/>
      <c r="X13" s="128">
        <f t="shared" si="3"/>
        <v>0</v>
      </c>
      <c r="Y13" s="125"/>
      <c r="Z13" s="126"/>
      <c r="AA13" s="134"/>
      <c r="AB13" s="129">
        <f t="shared" si="4"/>
        <v>0</v>
      </c>
      <c r="AC13" s="209">
        <f t="shared" si="5"/>
        <v>0</v>
      </c>
      <c r="AD13" s="130"/>
      <c r="AE13" s="131"/>
      <c r="AF13" s="135"/>
      <c r="AG13" s="133">
        <f t="shared" si="6"/>
        <v>0</v>
      </c>
      <c r="AH13" s="130"/>
      <c r="AI13" s="131"/>
      <c r="AJ13" s="135"/>
      <c r="AK13" s="133">
        <f t="shared" si="7"/>
        <v>0</v>
      </c>
      <c r="AL13" s="133">
        <f t="shared" si="8"/>
        <v>0</v>
      </c>
      <c r="AM13" s="38"/>
    </row>
    <row r="14" spans="1:39" ht="15" customHeight="1" x14ac:dyDescent="0.25">
      <c r="A14" s="104" t="e">
        <f>+#REF!</f>
        <v>#REF!</v>
      </c>
      <c r="B14" s="103">
        <v>9</v>
      </c>
      <c r="C14" s="196" t="s">
        <v>40</v>
      </c>
      <c r="D14" s="35" t="s">
        <v>24</v>
      </c>
      <c r="E14" s="37" t="s">
        <v>204</v>
      </c>
      <c r="F14" s="36" t="s">
        <v>29</v>
      </c>
      <c r="G14" s="36" t="s">
        <v>29</v>
      </c>
      <c r="I14" s="126">
        <v>2650.2</v>
      </c>
      <c r="K14" s="127">
        <v>134.4</v>
      </c>
      <c r="L14" s="128">
        <f t="shared" si="0"/>
        <v>2784.6</v>
      </c>
      <c r="M14" s="126">
        <v>26845</v>
      </c>
      <c r="O14" s="127">
        <v>200</v>
      </c>
      <c r="P14" s="128">
        <f t="shared" si="1"/>
        <v>27045</v>
      </c>
      <c r="Q14" s="126">
        <v>26845</v>
      </c>
      <c r="S14" s="127">
        <v>200</v>
      </c>
      <c r="T14" s="128">
        <f t="shared" si="2"/>
        <v>27045</v>
      </c>
      <c r="U14" s="126">
        <v>26845</v>
      </c>
      <c r="W14" s="127">
        <v>200</v>
      </c>
      <c r="X14" s="128">
        <f t="shared" si="3"/>
        <v>27045</v>
      </c>
      <c r="Y14" s="126">
        <v>26845</v>
      </c>
      <c r="AA14" s="127">
        <v>200</v>
      </c>
      <c r="AB14" s="129">
        <f t="shared" si="4"/>
        <v>27045</v>
      </c>
      <c r="AC14" s="209">
        <f t="shared" si="5"/>
        <v>108180</v>
      </c>
      <c r="AD14" s="130">
        <v>26845</v>
      </c>
      <c r="AF14" s="132">
        <v>200</v>
      </c>
      <c r="AG14" s="133">
        <f t="shared" si="6"/>
        <v>27045</v>
      </c>
      <c r="AH14" s="131">
        <v>26845</v>
      </c>
      <c r="AJ14" s="132">
        <v>200</v>
      </c>
      <c r="AK14" s="133">
        <f t="shared" si="7"/>
        <v>27045</v>
      </c>
      <c r="AL14" s="133">
        <f t="shared" si="8"/>
        <v>54090</v>
      </c>
      <c r="AM14" s="38"/>
    </row>
    <row r="15" spans="1:39" ht="15" customHeight="1" x14ac:dyDescent="0.25">
      <c r="A15" s="104" t="e">
        <f>+#REF!</f>
        <v>#REF!</v>
      </c>
      <c r="B15" s="103">
        <v>10</v>
      </c>
      <c r="C15" s="196" t="s">
        <v>40</v>
      </c>
      <c r="D15" s="35" t="s">
        <v>24</v>
      </c>
      <c r="E15" s="37" t="s">
        <v>41</v>
      </c>
      <c r="F15" s="36" t="s">
        <v>29</v>
      </c>
      <c r="G15" s="36" t="s">
        <v>29</v>
      </c>
      <c r="I15" s="125">
        <v>13.779</v>
      </c>
      <c r="J15" s="126"/>
      <c r="K15" s="127">
        <v>18</v>
      </c>
      <c r="L15" s="128">
        <f t="shared" si="0"/>
        <v>31.779</v>
      </c>
      <c r="M15" s="125">
        <v>504.5</v>
      </c>
      <c r="N15" s="126"/>
      <c r="O15" s="127">
        <v>18</v>
      </c>
      <c r="P15" s="128">
        <f t="shared" si="1"/>
        <v>522.5</v>
      </c>
      <c r="Q15" s="125">
        <v>504.5</v>
      </c>
      <c r="R15" s="126"/>
      <c r="S15" s="127">
        <v>18</v>
      </c>
      <c r="T15" s="128">
        <f t="shared" si="2"/>
        <v>522.5</v>
      </c>
      <c r="U15" s="125">
        <v>504.5</v>
      </c>
      <c r="V15" s="126"/>
      <c r="W15" s="127">
        <v>18</v>
      </c>
      <c r="X15" s="128">
        <f t="shared" si="3"/>
        <v>522.5</v>
      </c>
      <c r="Y15" s="125">
        <v>504.5</v>
      </c>
      <c r="Z15" s="126"/>
      <c r="AA15" s="127">
        <v>18</v>
      </c>
      <c r="AB15" s="129">
        <f t="shared" si="4"/>
        <v>522.5</v>
      </c>
      <c r="AC15" s="209">
        <f t="shared" si="5"/>
        <v>2090</v>
      </c>
      <c r="AD15" s="130">
        <v>504.5</v>
      </c>
      <c r="AE15" s="131"/>
      <c r="AF15" s="132">
        <v>18</v>
      </c>
      <c r="AG15" s="133">
        <f t="shared" si="6"/>
        <v>522.5</v>
      </c>
      <c r="AH15" s="130">
        <v>504.5</v>
      </c>
      <c r="AI15" s="131"/>
      <c r="AJ15" s="132">
        <v>18</v>
      </c>
      <c r="AK15" s="133">
        <f t="shared" si="7"/>
        <v>522.5</v>
      </c>
      <c r="AL15" s="133">
        <f t="shared" si="8"/>
        <v>1045</v>
      </c>
      <c r="AM15" s="38"/>
    </row>
    <row r="16" spans="1:39" ht="15" customHeight="1" x14ac:dyDescent="0.25">
      <c r="A16" s="104" t="e">
        <f>+#REF!</f>
        <v>#REF!</v>
      </c>
      <c r="B16" s="103">
        <v>11</v>
      </c>
      <c r="C16" s="196" t="s">
        <v>46</v>
      </c>
      <c r="D16" s="35" t="s">
        <v>24</v>
      </c>
      <c r="E16" s="37" t="s">
        <v>43</v>
      </c>
      <c r="F16" s="36" t="s">
        <v>33</v>
      </c>
      <c r="G16" s="36" t="s">
        <v>29</v>
      </c>
      <c r="I16" s="125"/>
      <c r="J16" s="126"/>
      <c r="K16" s="127"/>
      <c r="L16" s="128">
        <f t="shared" si="0"/>
        <v>0</v>
      </c>
      <c r="M16" s="125">
        <v>8000</v>
      </c>
      <c r="N16" s="126"/>
      <c r="O16" s="134"/>
      <c r="P16" s="128">
        <f t="shared" si="1"/>
        <v>8000</v>
      </c>
      <c r="Q16" s="125">
        <v>10400</v>
      </c>
      <c r="R16" s="126"/>
      <c r="S16" s="134"/>
      <c r="T16" s="128">
        <f t="shared" si="2"/>
        <v>10400</v>
      </c>
      <c r="U16" s="125">
        <v>10400</v>
      </c>
      <c r="V16" s="126"/>
      <c r="W16" s="134"/>
      <c r="X16" s="128">
        <f t="shared" si="3"/>
        <v>10400</v>
      </c>
      <c r="Y16" s="125">
        <v>10800</v>
      </c>
      <c r="Z16" s="126"/>
      <c r="AA16" s="134"/>
      <c r="AB16" s="129">
        <f t="shared" si="4"/>
        <v>10800</v>
      </c>
      <c r="AC16" s="209">
        <f t="shared" si="5"/>
        <v>39600</v>
      </c>
      <c r="AD16" s="130">
        <v>10800</v>
      </c>
      <c r="AE16" s="131"/>
      <c r="AF16" s="135"/>
      <c r="AG16" s="133">
        <f t="shared" si="6"/>
        <v>10800</v>
      </c>
      <c r="AH16" s="130">
        <v>10800</v>
      </c>
      <c r="AI16" s="131"/>
      <c r="AJ16" s="135"/>
      <c r="AK16" s="133">
        <f t="shared" si="7"/>
        <v>10800</v>
      </c>
      <c r="AL16" s="133">
        <f t="shared" si="8"/>
        <v>21600</v>
      </c>
      <c r="AM16" s="38"/>
    </row>
    <row r="17" spans="1:39" ht="15" customHeight="1" x14ac:dyDescent="0.25">
      <c r="A17" s="104" t="e">
        <f>+#REF!</f>
        <v>#REF!</v>
      </c>
      <c r="B17" s="103">
        <v>12</v>
      </c>
      <c r="C17" s="196" t="s">
        <v>44</v>
      </c>
      <c r="D17" s="35" t="s">
        <v>24</v>
      </c>
      <c r="E17" s="37" t="s">
        <v>45</v>
      </c>
      <c r="F17" s="36" t="s">
        <v>26</v>
      </c>
      <c r="G17" s="36" t="s">
        <v>25</v>
      </c>
      <c r="I17" s="125">
        <v>28.338999999999999</v>
      </c>
      <c r="J17" s="126">
        <v>346.61700000000002</v>
      </c>
      <c r="K17" s="127"/>
      <c r="L17" s="128">
        <f t="shared" si="0"/>
        <v>374.95600000000002</v>
      </c>
      <c r="M17" s="125">
        <v>668</v>
      </c>
      <c r="N17" s="126">
        <v>600</v>
      </c>
      <c r="O17" s="134">
        <v>1000</v>
      </c>
      <c r="P17" s="128">
        <f t="shared" si="1"/>
        <v>2268</v>
      </c>
      <c r="Q17" s="125">
        <v>1468</v>
      </c>
      <c r="R17" s="126">
        <v>600</v>
      </c>
      <c r="S17" s="134">
        <v>1000</v>
      </c>
      <c r="T17" s="128">
        <f t="shared" si="2"/>
        <v>3068</v>
      </c>
      <c r="U17" s="125">
        <v>1468</v>
      </c>
      <c r="V17" s="126">
        <v>600</v>
      </c>
      <c r="W17" s="134">
        <v>1000</v>
      </c>
      <c r="X17" s="128">
        <f t="shared" si="3"/>
        <v>3068</v>
      </c>
      <c r="Y17" s="125">
        <v>1468</v>
      </c>
      <c r="Z17" s="126">
        <v>600</v>
      </c>
      <c r="AA17" s="134">
        <v>800</v>
      </c>
      <c r="AB17" s="129">
        <f t="shared" si="4"/>
        <v>2868</v>
      </c>
      <c r="AC17" s="209">
        <f t="shared" si="5"/>
        <v>11272</v>
      </c>
      <c r="AD17" s="130">
        <v>1468</v>
      </c>
      <c r="AE17" s="131">
        <v>600</v>
      </c>
      <c r="AF17" s="135">
        <v>800</v>
      </c>
      <c r="AG17" s="133">
        <f t="shared" si="6"/>
        <v>2868</v>
      </c>
      <c r="AH17" s="130">
        <v>1468</v>
      </c>
      <c r="AI17" s="131"/>
      <c r="AJ17" s="135">
        <v>800</v>
      </c>
      <c r="AK17" s="133">
        <f t="shared" si="7"/>
        <v>2268</v>
      </c>
      <c r="AL17" s="133">
        <f t="shared" si="8"/>
        <v>5136</v>
      </c>
      <c r="AM17" s="38"/>
    </row>
    <row r="18" spans="1:39" ht="15" customHeight="1" x14ac:dyDescent="0.25">
      <c r="A18" s="104" t="e">
        <f>+#REF!</f>
        <v>#REF!</v>
      </c>
      <c r="B18" s="103">
        <v>13</v>
      </c>
      <c r="C18" s="196" t="s">
        <v>48</v>
      </c>
      <c r="D18" s="35" t="s">
        <v>24</v>
      </c>
      <c r="E18" s="37" t="s">
        <v>47</v>
      </c>
      <c r="F18" s="36" t="s">
        <v>33</v>
      </c>
      <c r="G18" s="36" t="s">
        <v>25</v>
      </c>
      <c r="I18" s="125">
        <v>1773.27</v>
      </c>
      <c r="J18" s="126"/>
      <c r="K18" s="127"/>
      <c r="L18" s="128">
        <f t="shared" si="0"/>
        <v>1773.27</v>
      </c>
      <c r="M18" s="125">
        <v>6065</v>
      </c>
      <c r="N18" s="126"/>
      <c r="O18" s="134"/>
      <c r="P18" s="128">
        <f t="shared" si="1"/>
        <v>6065</v>
      </c>
      <c r="Q18" s="125">
        <v>6050</v>
      </c>
      <c r="R18" s="126"/>
      <c r="S18" s="134"/>
      <c r="T18" s="128">
        <f t="shared" si="2"/>
        <v>6050</v>
      </c>
      <c r="U18" s="125">
        <v>6250</v>
      </c>
      <c r="V18" s="126"/>
      <c r="W18" s="134"/>
      <c r="X18" s="128">
        <f t="shared" si="3"/>
        <v>6250</v>
      </c>
      <c r="Y18" s="125">
        <v>6075</v>
      </c>
      <c r="Z18" s="126"/>
      <c r="AA18" s="134"/>
      <c r="AB18" s="129">
        <f t="shared" si="4"/>
        <v>6075</v>
      </c>
      <c r="AC18" s="209">
        <f t="shared" si="5"/>
        <v>24440</v>
      </c>
      <c r="AD18" s="130">
        <v>6050</v>
      </c>
      <c r="AE18" s="131"/>
      <c r="AF18" s="135"/>
      <c r="AG18" s="133">
        <f t="shared" si="6"/>
        <v>6050</v>
      </c>
      <c r="AH18" s="130">
        <v>6050</v>
      </c>
      <c r="AI18" s="131"/>
      <c r="AJ18" s="135"/>
      <c r="AK18" s="133">
        <f t="shared" si="7"/>
        <v>6050</v>
      </c>
      <c r="AL18" s="133">
        <f t="shared" si="8"/>
        <v>12100</v>
      </c>
      <c r="AM18" s="38"/>
    </row>
    <row r="19" spans="1:39" ht="15" customHeight="1" x14ac:dyDescent="0.25">
      <c r="A19" s="104" t="e">
        <f>+#REF!</f>
        <v>#REF!</v>
      </c>
      <c r="B19" s="103">
        <v>14</v>
      </c>
      <c r="C19" s="196" t="s">
        <v>50</v>
      </c>
      <c r="D19" s="35" t="s">
        <v>24</v>
      </c>
      <c r="E19" s="37" t="s">
        <v>49</v>
      </c>
      <c r="F19" s="36" t="s">
        <v>33</v>
      </c>
      <c r="G19" s="36" t="s">
        <v>36</v>
      </c>
      <c r="I19" s="125"/>
      <c r="J19" s="126"/>
      <c r="K19" s="127"/>
      <c r="L19" s="128">
        <f t="shared" si="0"/>
        <v>0</v>
      </c>
      <c r="M19" s="125">
        <v>4000</v>
      </c>
      <c r="N19" s="126"/>
      <c r="O19" s="134"/>
      <c r="P19" s="128">
        <f t="shared" si="1"/>
        <v>4000</v>
      </c>
      <c r="Q19" s="125">
        <v>4000</v>
      </c>
      <c r="R19" s="126"/>
      <c r="S19" s="134"/>
      <c r="T19" s="128">
        <f t="shared" si="2"/>
        <v>4000</v>
      </c>
      <c r="U19" s="125">
        <v>4000</v>
      </c>
      <c r="V19" s="126"/>
      <c r="W19" s="134"/>
      <c r="X19" s="128">
        <f t="shared" si="3"/>
        <v>4000</v>
      </c>
      <c r="Y19" s="125">
        <v>4000</v>
      </c>
      <c r="Z19" s="126"/>
      <c r="AA19" s="134"/>
      <c r="AB19" s="129">
        <f t="shared" si="4"/>
        <v>4000</v>
      </c>
      <c r="AC19" s="209">
        <f t="shared" si="5"/>
        <v>16000</v>
      </c>
      <c r="AD19" s="130">
        <v>4000</v>
      </c>
      <c r="AE19" s="131"/>
      <c r="AF19" s="135"/>
      <c r="AG19" s="133">
        <f t="shared" si="6"/>
        <v>4000</v>
      </c>
      <c r="AH19" s="130">
        <v>4000</v>
      </c>
      <c r="AI19" s="131"/>
      <c r="AJ19" s="135"/>
      <c r="AK19" s="133">
        <f t="shared" si="7"/>
        <v>4000</v>
      </c>
      <c r="AL19" s="133">
        <f t="shared" si="8"/>
        <v>8000</v>
      </c>
      <c r="AM19" s="38"/>
    </row>
    <row r="20" spans="1:39" ht="15" customHeight="1" x14ac:dyDescent="0.25">
      <c r="A20" s="104" t="e">
        <f>+#REF!</f>
        <v>#REF!</v>
      </c>
      <c r="B20" s="103">
        <v>15</v>
      </c>
      <c r="C20" s="196" t="s">
        <v>60</v>
      </c>
      <c r="D20" s="35" t="s">
        <v>24</v>
      </c>
      <c r="E20" s="37" t="s">
        <v>51</v>
      </c>
      <c r="F20" s="36" t="s">
        <v>33</v>
      </c>
      <c r="G20" s="36" t="s">
        <v>25</v>
      </c>
      <c r="I20" s="125">
        <v>478.17599999999999</v>
      </c>
      <c r="J20" s="126"/>
      <c r="K20" s="127">
        <v>21260.977999999999</v>
      </c>
      <c r="L20" s="128">
        <f t="shared" si="0"/>
        <v>21739.153999999999</v>
      </c>
      <c r="M20" s="125">
        <v>54300</v>
      </c>
      <c r="N20" s="126"/>
      <c r="O20" s="134">
        <v>12800</v>
      </c>
      <c r="P20" s="128">
        <f t="shared" si="1"/>
        <v>67100</v>
      </c>
      <c r="Q20" s="125">
        <v>62300</v>
      </c>
      <c r="R20" s="126"/>
      <c r="S20" s="134">
        <v>12800</v>
      </c>
      <c r="T20" s="128">
        <f t="shared" si="2"/>
        <v>75100</v>
      </c>
      <c r="U20" s="125">
        <v>58800</v>
      </c>
      <c r="V20" s="126"/>
      <c r="W20" s="134">
        <v>16800</v>
      </c>
      <c r="X20" s="128">
        <f t="shared" si="3"/>
        <v>75600</v>
      </c>
      <c r="Y20" s="125">
        <v>55800</v>
      </c>
      <c r="Z20" s="126"/>
      <c r="AA20" s="134">
        <v>14800</v>
      </c>
      <c r="AB20" s="129">
        <f t="shared" si="4"/>
        <v>70600</v>
      </c>
      <c r="AC20" s="209">
        <f t="shared" si="5"/>
        <v>288400</v>
      </c>
      <c r="AD20" s="130">
        <v>46500</v>
      </c>
      <c r="AE20" s="131"/>
      <c r="AF20" s="135">
        <v>14800</v>
      </c>
      <c r="AG20" s="133">
        <f t="shared" si="6"/>
        <v>61300</v>
      </c>
      <c r="AH20" s="130">
        <v>46500</v>
      </c>
      <c r="AI20" s="131"/>
      <c r="AJ20" s="135">
        <v>14800</v>
      </c>
      <c r="AK20" s="133">
        <f t="shared" si="7"/>
        <v>61300</v>
      </c>
      <c r="AL20" s="133">
        <f t="shared" si="8"/>
        <v>122600</v>
      </c>
      <c r="AM20" s="38"/>
    </row>
    <row r="21" spans="1:39" ht="15" customHeight="1" x14ac:dyDescent="0.25">
      <c r="A21" s="104" t="e">
        <f>+#REF!</f>
        <v>#REF!</v>
      </c>
      <c r="B21" s="103">
        <v>16</v>
      </c>
      <c r="C21" s="196" t="s">
        <v>276</v>
      </c>
      <c r="D21" s="35" t="s">
        <v>24</v>
      </c>
      <c r="E21" s="37" t="s">
        <v>199</v>
      </c>
      <c r="F21" s="36" t="s">
        <v>26</v>
      </c>
      <c r="G21" s="36" t="s">
        <v>38</v>
      </c>
      <c r="I21" s="125"/>
      <c r="J21" s="126"/>
      <c r="K21" s="127"/>
      <c r="L21" s="128">
        <f t="shared" si="0"/>
        <v>0</v>
      </c>
      <c r="M21" s="125"/>
      <c r="N21" s="126"/>
      <c r="O21" s="134"/>
      <c r="P21" s="128">
        <f t="shared" si="1"/>
        <v>0</v>
      </c>
      <c r="Q21" s="125"/>
      <c r="R21" s="126"/>
      <c r="S21" s="134"/>
      <c r="T21" s="128">
        <f t="shared" si="2"/>
        <v>0</v>
      </c>
      <c r="U21" s="125"/>
      <c r="V21" s="126"/>
      <c r="W21" s="134"/>
      <c r="X21" s="128">
        <f t="shared" si="3"/>
        <v>0</v>
      </c>
      <c r="Y21" s="125"/>
      <c r="Z21" s="126"/>
      <c r="AA21" s="134"/>
      <c r="AB21" s="129">
        <f t="shared" si="4"/>
        <v>0</v>
      </c>
      <c r="AC21" s="209">
        <f t="shared" si="5"/>
        <v>0</v>
      </c>
      <c r="AD21" s="130"/>
      <c r="AE21" s="131"/>
      <c r="AF21" s="135"/>
      <c r="AG21" s="133">
        <f t="shared" si="6"/>
        <v>0</v>
      </c>
      <c r="AH21" s="130"/>
      <c r="AI21" s="131"/>
      <c r="AJ21" s="135"/>
      <c r="AK21" s="133">
        <f t="shared" si="7"/>
        <v>0</v>
      </c>
      <c r="AL21" s="133">
        <f t="shared" si="8"/>
        <v>0</v>
      </c>
      <c r="AM21" s="38"/>
    </row>
    <row r="22" spans="1:39" ht="15" customHeight="1" x14ac:dyDescent="0.25">
      <c r="A22" s="104" t="e">
        <f>+#REF!</f>
        <v>#REF!</v>
      </c>
      <c r="B22" s="103">
        <v>17</v>
      </c>
      <c r="C22" s="196" t="s">
        <v>52</v>
      </c>
      <c r="D22" s="35" t="s">
        <v>24</v>
      </c>
      <c r="E22" s="37" t="s">
        <v>53</v>
      </c>
      <c r="F22" s="36" t="s">
        <v>29</v>
      </c>
      <c r="G22" s="36" t="s">
        <v>29</v>
      </c>
      <c r="I22" s="125">
        <v>2382.3017</v>
      </c>
      <c r="J22" s="126"/>
      <c r="K22" s="127">
        <v>2848.02664</v>
      </c>
      <c r="L22" s="128">
        <f t="shared" si="0"/>
        <v>5230.32834</v>
      </c>
      <c r="M22" s="125">
        <v>3396.6480000000001</v>
      </c>
      <c r="N22" s="126"/>
      <c r="O22" s="134">
        <v>5980.6260000000002</v>
      </c>
      <c r="P22" s="128">
        <f t="shared" si="1"/>
        <v>9377.2740000000013</v>
      </c>
      <c r="Q22" s="125">
        <v>3696.6480000000001</v>
      </c>
      <c r="R22" s="126"/>
      <c r="S22" s="134">
        <v>5581.36</v>
      </c>
      <c r="T22" s="128">
        <f t="shared" si="2"/>
        <v>9278.0079999999998</v>
      </c>
      <c r="U22" s="125">
        <v>4196.8879999999999</v>
      </c>
      <c r="V22" s="126"/>
      <c r="W22" s="134">
        <v>5054.3509999999997</v>
      </c>
      <c r="X22" s="128">
        <f t="shared" si="3"/>
        <v>9251.2389999999996</v>
      </c>
      <c r="Y22" s="125">
        <v>4296.6480000000001</v>
      </c>
      <c r="Z22" s="126"/>
      <c r="AA22" s="134">
        <v>5054.5910000000003</v>
      </c>
      <c r="AB22" s="129">
        <f t="shared" si="4"/>
        <v>9351.2390000000014</v>
      </c>
      <c r="AC22" s="209">
        <f t="shared" si="5"/>
        <v>37257.760000000002</v>
      </c>
      <c r="AD22" s="130">
        <v>4296.6480000000001</v>
      </c>
      <c r="AE22" s="131"/>
      <c r="AF22" s="135">
        <v>5054.5910000000003</v>
      </c>
      <c r="AG22" s="133">
        <f t="shared" si="6"/>
        <v>9351.2390000000014</v>
      </c>
      <c r="AH22" s="130">
        <v>4296.6480000000001</v>
      </c>
      <c r="AI22" s="131"/>
      <c r="AJ22" s="135">
        <v>5054.5910000000003</v>
      </c>
      <c r="AK22" s="133">
        <f t="shared" si="7"/>
        <v>9351.2390000000014</v>
      </c>
      <c r="AL22" s="133">
        <f t="shared" si="8"/>
        <v>18702.478000000003</v>
      </c>
      <c r="AM22" s="38"/>
    </row>
    <row r="23" spans="1:39" ht="15" customHeight="1" x14ac:dyDescent="0.25">
      <c r="A23" s="104" t="e">
        <f>+#REF!</f>
        <v>#REF!</v>
      </c>
      <c r="B23" s="103">
        <v>18</v>
      </c>
      <c r="C23" s="196" t="s">
        <v>54</v>
      </c>
      <c r="D23" s="35" t="s">
        <v>24</v>
      </c>
      <c r="E23" s="37" t="s">
        <v>208</v>
      </c>
      <c r="F23" s="36" t="s">
        <v>26</v>
      </c>
      <c r="G23" s="36" t="s">
        <v>25</v>
      </c>
      <c r="I23" s="125">
        <v>127.417</v>
      </c>
      <c r="J23" s="126"/>
      <c r="K23" s="127">
        <v>1278.0119999999999</v>
      </c>
      <c r="L23" s="128">
        <f t="shared" si="0"/>
        <v>1405.4289999999999</v>
      </c>
      <c r="M23" s="125">
        <v>308.47800000000001</v>
      </c>
      <c r="N23" s="126"/>
      <c r="O23" s="134">
        <v>1303.222</v>
      </c>
      <c r="P23" s="128">
        <f t="shared" si="1"/>
        <v>1611.7</v>
      </c>
      <c r="Q23" s="125">
        <v>669.58900000000006</v>
      </c>
      <c r="R23" s="126"/>
      <c r="S23" s="134">
        <v>1242.1110000000001</v>
      </c>
      <c r="T23" s="128">
        <f t="shared" si="2"/>
        <v>1911.7000000000003</v>
      </c>
      <c r="U23" s="125">
        <v>369.589</v>
      </c>
      <c r="V23" s="126"/>
      <c r="W23" s="134">
        <v>1242.1110000000001</v>
      </c>
      <c r="X23" s="128">
        <f t="shared" si="3"/>
        <v>1611.7</v>
      </c>
      <c r="Y23" s="125">
        <v>430.5</v>
      </c>
      <c r="Z23" s="126"/>
      <c r="AA23" s="134">
        <v>1181</v>
      </c>
      <c r="AB23" s="129">
        <f t="shared" si="4"/>
        <v>1611.5</v>
      </c>
      <c r="AC23" s="209">
        <f t="shared" si="5"/>
        <v>6746.6</v>
      </c>
      <c r="AD23" s="130">
        <v>430.5</v>
      </c>
      <c r="AE23" s="131"/>
      <c r="AF23" s="135">
        <v>1181</v>
      </c>
      <c r="AG23" s="133">
        <f t="shared" si="6"/>
        <v>1611.5</v>
      </c>
      <c r="AH23" s="130">
        <v>430.5</v>
      </c>
      <c r="AI23" s="131"/>
      <c r="AJ23" s="135">
        <v>1181</v>
      </c>
      <c r="AK23" s="133">
        <f t="shared" si="7"/>
        <v>1611.5</v>
      </c>
      <c r="AL23" s="133">
        <f t="shared" si="8"/>
        <v>3223</v>
      </c>
      <c r="AM23" s="38"/>
    </row>
    <row r="24" spans="1:39" ht="15" customHeight="1" x14ac:dyDescent="0.25">
      <c r="A24" s="104" t="e">
        <f>+#REF!</f>
        <v>#REF!</v>
      </c>
      <c r="B24" s="103">
        <v>19</v>
      </c>
      <c r="C24" s="196" t="s">
        <v>55</v>
      </c>
      <c r="D24" s="35" t="s">
        <v>24</v>
      </c>
      <c r="E24" s="37" t="s">
        <v>56</v>
      </c>
      <c r="F24" s="36" t="s">
        <v>26</v>
      </c>
      <c r="G24" s="36" t="s">
        <v>57</v>
      </c>
      <c r="I24" s="125"/>
      <c r="J24" s="126">
        <v>221.2</v>
      </c>
      <c r="K24" s="127">
        <v>884.8</v>
      </c>
      <c r="L24" s="128">
        <f t="shared" si="0"/>
        <v>1106</v>
      </c>
      <c r="M24" s="125"/>
      <c r="N24" s="126">
        <v>270</v>
      </c>
      <c r="O24" s="134">
        <v>1080</v>
      </c>
      <c r="P24" s="128">
        <f t="shared" si="1"/>
        <v>1350</v>
      </c>
      <c r="Q24" s="125"/>
      <c r="R24" s="126">
        <v>270</v>
      </c>
      <c r="S24" s="134">
        <v>1080</v>
      </c>
      <c r="T24" s="128">
        <f t="shared" si="2"/>
        <v>1350</v>
      </c>
      <c r="U24" s="125"/>
      <c r="V24" s="126">
        <v>270</v>
      </c>
      <c r="W24" s="134">
        <v>1080</v>
      </c>
      <c r="X24" s="128">
        <f t="shared" si="3"/>
        <v>1350</v>
      </c>
      <c r="Y24" s="125"/>
      <c r="Z24" s="126">
        <v>270</v>
      </c>
      <c r="AA24" s="134">
        <v>1080</v>
      </c>
      <c r="AB24" s="129">
        <f t="shared" si="4"/>
        <v>1350</v>
      </c>
      <c r="AC24" s="209">
        <f t="shared" si="5"/>
        <v>5400</v>
      </c>
      <c r="AD24" s="130"/>
      <c r="AE24" s="131">
        <v>270</v>
      </c>
      <c r="AF24" s="135">
        <v>1080</v>
      </c>
      <c r="AG24" s="133">
        <f t="shared" si="6"/>
        <v>1350</v>
      </c>
      <c r="AH24" s="130"/>
      <c r="AI24" s="131">
        <v>270</v>
      </c>
      <c r="AJ24" s="135">
        <v>1080</v>
      </c>
      <c r="AK24" s="133">
        <f t="shared" si="7"/>
        <v>1350</v>
      </c>
      <c r="AL24" s="133">
        <f t="shared" si="8"/>
        <v>2700</v>
      </c>
      <c r="AM24" s="38"/>
    </row>
    <row r="25" spans="1:39" ht="15" customHeight="1" x14ac:dyDescent="0.25">
      <c r="A25" s="104" t="e">
        <f>+#REF!</f>
        <v>#REF!</v>
      </c>
      <c r="B25" s="103">
        <v>20</v>
      </c>
      <c r="C25" s="196" t="s">
        <v>58</v>
      </c>
      <c r="D25" s="35" t="s">
        <v>24</v>
      </c>
      <c r="E25" s="37" t="s">
        <v>235</v>
      </c>
      <c r="F25" s="36" t="s">
        <v>26</v>
      </c>
      <c r="G25" s="36" t="s">
        <v>25</v>
      </c>
      <c r="I25" s="125"/>
      <c r="K25" s="127">
        <v>2722.2217800000003</v>
      </c>
      <c r="L25" s="128">
        <f t="shared" si="0"/>
        <v>2722.2217800000003</v>
      </c>
      <c r="M25" s="125"/>
      <c r="N25" s="126"/>
      <c r="O25" s="127">
        <v>2722.2217800000003</v>
      </c>
      <c r="P25" s="128">
        <f t="shared" si="1"/>
        <v>2722.2217800000003</v>
      </c>
      <c r="Q25" s="125"/>
      <c r="R25" s="126"/>
      <c r="S25" s="127">
        <v>2722.2217800000003</v>
      </c>
      <c r="T25" s="128">
        <f t="shared" si="2"/>
        <v>2722.2217800000003</v>
      </c>
      <c r="U25" s="125">
        <v>272.22178000000002</v>
      </c>
      <c r="V25" s="126"/>
      <c r="W25" s="134">
        <v>2450</v>
      </c>
      <c r="X25" s="128">
        <f t="shared" si="3"/>
        <v>2722.2217799999999</v>
      </c>
      <c r="Y25" s="125">
        <v>272.22178000000002</v>
      </c>
      <c r="Z25" s="126"/>
      <c r="AA25" s="134">
        <v>2450</v>
      </c>
      <c r="AB25" s="129">
        <f t="shared" si="4"/>
        <v>2722.2217799999999</v>
      </c>
      <c r="AC25" s="209">
        <f t="shared" si="5"/>
        <v>10888.887119999999</v>
      </c>
      <c r="AD25" s="130">
        <v>272.22178000000002</v>
      </c>
      <c r="AE25" s="131"/>
      <c r="AF25" s="135">
        <v>2450</v>
      </c>
      <c r="AG25" s="133">
        <f t="shared" si="6"/>
        <v>2722.2217799999999</v>
      </c>
      <c r="AH25" s="130">
        <v>272.22178000000002</v>
      </c>
      <c r="AI25" s="131"/>
      <c r="AJ25" s="135">
        <v>2450</v>
      </c>
      <c r="AK25" s="133">
        <f t="shared" si="7"/>
        <v>2722.2217799999999</v>
      </c>
      <c r="AL25" s="133">
        <f t="shared" si="8"/>
        <v>5444.4435599999997</v>
      </c>
      <c r="AM25" s="38"/>
    </row>
    <row r="26" spans="1:39" ht="15" customHeight="1" x14ac:dyDescent="0.25">
      <c r="A26" s="104" t="e">
        <f>+#REF!</f>
        <v>#REF!</v>
      </c>
      <c r="B26" s="103">
        <v>21</v>
      </c>
      <c r="C26" s="196" t="s">
        <v>59</v>
      </c>
      <c r="D26" s="35" t="s">
        <v>24</v>
      </c>
      <c r="E26" s="37" t="s">
        <v>203</v>
      </c>
      <c r="F26" s="36" t="s">
        <v>33</v>
      </c>
      <c r="G26" s="36" t="s">
        <v>25</v>
      </c>
      <c r="I26" s="125">
        <v>887.81200000000001</v>
      </c>
      <c r="J26" s="126"/>
      <c r="K26" s="127"/>
      <c r="L26" s="128">
        <f t="shared" si="0"/>
        <v>887.81200000000001</v>
      </c>
      <c r="M26" s="125">
        <v>2272</v>
      </c>
      <c r="N26" s="126"/>
      <c r="O26" s="134">
        <v>1000</v>
      </c>
      <c r="P26" s="128">
        <f t="shared" si="1"/>
        <v>3272</v>
      </c>
      <c r="Q26" s="125">
        <v>2272</v>
      </c>
      <c r="R26" s="126"/>
      <c r="S26" s="134">
        <v>1000</v>
      </c>
      <c r="T26" s="128">
        <f t="shared" si="2"/>
        <v>3272</v>
      </c>
      <c r="U26" s="125">
        <v>2272</v>
      </c>
      <c r="V26" s="126"/>
      <c r="W26" s="134">
        <v>800</v>
      </c>
      <c r="X26" s="128">
        <f t="shared" si="3"/>
        <v>3072</v>
      </c>
      <c r="Y26" s="125">
        <v>2272</v>
      </c>
      <c r="Z26" s="126"/>
      <c r="AA26" s="134">
        <v>800</v>
      </c>
      <c r="AB26" s="129">
        <f t="shared" si="4"/>
        <v>3072</v>
      </c>
      <c r="AC26" s="209">
        <f t="shared" si="5"/>
        <v>12688</v>
      </c>
      <c r="AD26" s="130">
        <v>2272</v>
      </c>
      <c r="AE26" s="131"/>
      <c r="AF26" s="135">
        <v>800</v>
      </c>
      <c r="AG26" s="133">
        <f t="shared" si="6"/>
        <v>3072</v>
      </c>
      <c r="AH26" s="130">
        <v>2272</v>
      </c>
      <c r="AI26" s="131"/>
      <c r="AJ26" s="135">
        <v>800</v>
      </c>
      <c r="AK26" s="133">
        <f t="shared" si="7"/>
        <v>3072</v>
      </c>
      <c r="AL26" s="133">
        <f t="shared" si="8"/>
        <v>6144</v>
      </c>
      <c r="AM26" s="38"/>
    </row>
    <row r="27" spans="1:39" ht="15" customHeight="1" x14ac:dyDescent="0.25">
      <c r="A27" s="104" t="e">
        <f>+#REF!</f>
        <v>#REF!</v>
      </c>
      <c r="B27" s="103">
        <v>22</v>
      </c>
      <c r="C27" s="196" t="s">
        <v>65</v>
      </c>
      <c r="D27" s="35" t="s">
        <v>24</v>
      </c>
      <c r="E27" s="37" t="s">
        <v>248</v>
      </c>
      <c r="F27" s="36" t="s">
        <v>33</v>
      </c>
      <c r="G27" s="36" t="s">
        <v>29</v>
      </c>
      <c r="I27" s="125">
        <v>100</v>
      </c>
      <c r="J27" s="126"/>
      <c r="K27" s="127"/>
      <c r="L27" s="128">
        <f t="shared" si="0"/>
        <v>100</v>
      </c>
      <c r="M27" s="125">
        <v>300</v>
      </c>
      <c r="N27" s="126"/>
      <c r="O27" s="134"/>
      <c r="P27" s="128">
        <f t="shared" si="1"/>
        <v>300</v>
      </c>
      <c r="Q27" s="125">
        <v>300</v>
      </c>
      <c r="R27" s="126"/>
      <c r="S27" s="134"/>
      <c r="T27" s="128">
        <f t="shared" si="2"/>
        <v>300</v>
      </c>
      <c r="U27" s="125">
        <v>300</v>
      </c>
      <c r="V27" s="126"/>
      <c r="W27" s="134"/>
      <c r="X27" s="128">
        <f t="shared" si="3"/>
        <v>300</v>
      </c>
      <c r="Y27" s="125">
        <v>300</v>
      </c>
      <c r="Z27" s="126"/>
      <c r="AA27" s="134"/>
      <c r="AB27" s="129">
        <f t="shared" si="4"/>
        <v>300</v>
      </c>
      <c r="AC27" s="209">
        <f t="shared" si="5"/>
        <v>1200</v>
      </c>
      <c r="AD27" s="130">
        <v>300</v>
      </c>
      <c r="AE27" s="131"/>
      <c r="AF27" s="135"/>
      <c r="AG27" s="133">
        <f t="shared" si="6"/>
        <v>300</v>
      </c>
      <c r="AH27" s="130">
        <v>300</v>
      </c>
      <c r="AI27" s="131"/>
      <c r="AJ27" s="135"/>
      <c r="AK27" s="133">
        <f t="shared" si="7"/>
        <v>300</v>
      </c>
      <c r="AL27" s="133">
        <f t="shared" si="8"/>
        <v>600</v>
      </c>
      <c r="AM27" s="38"/>
    </row>
    <row r="28" spans="1:39" ht="15" customHeight="1" x14ac:dyDescent="0.25">
      <c r="A28" s="104" t="e">
        <f>+#REF!</f>
        <v>#REF!</v>
      </c>
      <c r="B28" s="103">
        <v>23</v>
      </c>
      <c r="C28" s="196" t="s">
        <v>61</v>
      </c>
      <c r="D28" s="35" t="s">
        <v>24</v>
      </c>
      <c r="E28" s="37" t="s">
        <v>62</v>
      </c>
      <c r="F28" s="36" t="s">
        <v>26</v>
      </c>
      <c r="G28" s="36" t="s">
        <v>29</v>
      </c>
      <c r="I28" s="125">
        <v>7047.1441100000002</v>
      </c>
      <c r="J28" s="126"/>
      <c r="K28" s="127">
        <v>220.036</v>
      </c>
      <c r="L28" s="128">
        <f t="shared" si="0"/>
        <v>7267.1801100000002</v>
      </c>
      <c r="M28" s="125">
        <v>11950</v>
      </c>
      <c r="N28" s="126"/>
      <c r="O28" s="134">
        <v>269.8</v>
      </c>
      <c r="P28" s="128">
        <f t="shared" si="1"/>
        <v>12219.8</v>
      </c>
      <c r="Q28" s="125">
        <v>11950</v>
      </c>
      <c r="R28" s="126"/>
      <c r="S28" s="134">
        <v>269.8</v>
      </c>
      <c r="T28" s="128">
        <f t="shared" si="2"/>
        <v>12219.8</v>
      </c>
      <c r="U28" s="125">
        <v>9950.0300999999999</v>
      </c>
      <c r="V28" s="126"/>
      <c r="W28" s="134">
        <v>269.8</v>
      </c>
      <c r="X28" s="128">
        <f t="shared" si="3"/>
        <v>10219.830099999999</v>
      </c>
      <c r="Y28" s="125">
        <v>7950</v>
      </c>
      <c r="Z28" s="126"/>
      <c r="AA28" s="134">
        <v>269.8</v>
      </c>
      <c r="AB28" s="129">
        <f t="shared" si="4"/>
        <v>8219.7999999999993</v>
      </c>
      <c r="AC28" s="209">
        <f t="shared" si="5"/>
        <v>42879.230100000001</v>
      </c>
      <c r="AD28" s="130">
        <v>7950</v>
      </c>
      <c r="AE28" s="131"/>
      <c r="AF28" s="135">
        <v>269.8</v>
      </c>
      <c r="AG28" s="133">
        <f t="shared" si="6"/>
        <v>8219.7999999999993</v>
      </c>
      <c r="AH28" s="130">
        <v>7950</v>
      </c>
      <c r="AI28" s="131"/>
      <c r="AJ28" s="135">
        <v>269.8</v>
      </c>
      <c r="AK28" s="133">
        <f t="shared" si="7"/>
        <v>8219.7999999999993</v>
      </c>
      <c r="AL28" s="133">
        <f t="shared" si="8"/>
        <v>16439.599999999999</v>
      </c>
      <c r="AM28" s="38"/>
    </row>
    <row r="29" spans="1:39" ht="15" customHeight="1" x14ac:dyDescent="0.25">
      <c r="A29" s="104" t="e">
        <f>+#REF!</f>
        <v>#REF!</v>
      </c>
      <c r="B29" s="103">
        <v>24</v>
      </c>
      <c r="C29" s="196" t="s">
        <v>63</v>
      </c>
      <c r="D29" s="35" t="s">
        <v>24</v>
      </c>
      <c r="E29" s="37" t="s">
        <v>64</v>
      </c>
      <c r="F29" s="36" t="s">
        <v>26</v>
      </c>
      <c r="G29" s="36" t="s">
        <v>36</v>
      </c>
      <c r="I29" s="125">
        <v>73.295000000000002</v>
      </c>
      <c r="J29" s="126"/>
      <c r="K29" s="127"/>
      <c r="L29" s="128">
        <f t="shared" si="0"/>
        <v>73.295000000000002</v>
      </c>
      <c r="M29" s="125">
        <v>150</v>
      </c>
      <c r="N29" s="126"/>
      <c r="O29" s="134"/>
      <c r="P29" s="128">
        <f t="shared" si="1"/>
        <v>150</v>
      </c>
      <c r="Q29" s="125">
        <v>200</v>
      </c>
      <c r="R29" s="126"/>
      <c r="S29" s="134"/>
      <c r="T29" s="128">
        <f t="shared" si="2"/>
        <v>200</v>
      </c>
      <c r="U29" s="125">
        <v>150</v>
      </c>
      <c r="V29" s="126"/>
      <c r="W29" s="134"/>
      <c r="X29" s="128">
        <f t="shared" si="3"/>
        <v>150</v>
      </c>
      <c r="Y29" s="125">
        <v>150</v>
      </c>
      <c r="Z29" s="126"/>
      <c r="AA29" s="134"/>
      <c r="AB29" s="129">
        <f t="shared" si="4"/>
        <v>150</v>
      </c>
      <c r="AC29" s="209">
        <f t="shared" si="5"/>
        <v>650</v>
      </c>
      <c r="AD29" s="130">
        <v>150</v>
      </c>
      <c r="AE29" s="131"/>
      <c r="AF29" s="135"/>
      <c r="AG29" s="133">
        <f t="shared" si="6"/>
        <v>150</v>
      </c>
      <c r="AH29" s="130">
        <v>150</v>
      </c>
      <c r="AI29" s="131"/>
      <c r="AJ29" s="135"/>
      <c r="AK29" s="133">
        <f t="shared" si="7"/>
        <v>150</v>
      </c>
      <c r="AL29" s="133">
        <f t="shared" si="8"/>
        <v>300</v>
      </c>
      <c r="AM29" s="38"/>
    </row>
    <row r="30" spans="1:39" ht="15" customHeight="1" x14ac:dyDescent="0.25">
      <c r="A30" s="104" t="e">
        <f>+#REF!</f>
        <v>#REF!</v>
      </c>
      <c r="B30" s="103">
        <v>25</v>
      </c>
      <c r="C30" s="196" t="s">
        <v>255</v>
      </c>
      <c r="D30" s="35" t="s">
        <v>24</v>
      </c>
      <c r="E30" s="37" t="s">
        <v>66</v>
      </c>
      <c r="F30" s="36" t="s">
        <v>33</v>
      </c>
      <c r="G30" s="36" t="s">
        <v>38</v>
      </c>
      <c r="I30" s="125">
        <v>741.54289999999992</v>
      </c>
      <c r="J30" s="126"/>
      <c r="K30" s="127">
        <v>2050.2256899999998</v>
      </c>
      <c r="L30" s="128">
        <f t="shared" si="0"/>
        <v>2791.7685899999997</v>
      </c>
      <c r="M30" s="125">
        <v>140</v>
      </c>
      <c r="N30" s="126"/>
      <c r="O30" s="134">
        <v>360</v>
      </c>
      <c r="P30" s="128">
        <f t="shared" si="1"/>
        <v>500</v>
      </c>
      <c r="Q30" s="125">
        <v>100</v>
      </c>
      <c r="R30" s="126"/>
      <c r="S30" s="134"/>
      <c r="T30" s="128">
        <f t="shared" si="2"/>
        <v>100</v>
      </c>
      <c r="U30" s="125">
        <v>100</v>
      </c>
      <c r="V30" s="126"/>
      <c r="W30" s="134"/>
      <c r="X30" s="128">
        <f t="shared" si="3"/>
        <v>100</v>
      </c>
      <c r="Y30" s="125">
        <v>100</v>
      </c>
      <c r="Z30" s="126"/>
      <c r="AA30" s="134"/>
      <c r="AB30" s="129">
        <f t="shared" si="4"/>
        <v>100</v>
      </c>
      <c r="AC30" s="209">
        <f t="shared" si="5"/>
        <v>800</v>
      </c>
      <c r="AD30" s="130">
        <v>100</v>
      </c>
      <c r="AE30" s="131"/>
      <c r="AF30" s="135"/>
      <c r="AG30" s="133">
        <f t="shared" si="6"/>
        <v>100</v>
      </c>
      <c r="AH30" s="130">
        <v>100</v>
      </c>
      <c r="AI30" s="131"/>
      <c r="AJ30" s="135"/>
      <c r="AK30" s="133">
        <f t="shared" si="7"/>
        <v>100</v>
      </c>
      <c r="AL30" s="133">
        <f t="shared" si="8"/>
        <v>200</v>
      </c>
      <c r="AM30" s="38"/>
    </row>
    <row r="31" spans="1:39" ht="15" customHeight="1" x14ac:dyDescent="0.25">
      <c r="A31" s="104" t="e">
        <f>+#REF!</f>
        <v>#REF!</v>
      </c>
      <c r="B31" s="103">
        <v>26</v>
      </c>
      <c r="C31" s="196" t="s">
        <v>67</v>
      </c>
      <c r="D31" s="35" t="s">
        <v>24</v>
      </c>
      <c r="E31" s="37" t="s">
        <v>68</v>
      </c>
      <c r="F31" s="36" t="s">
        <v>33</v>
      </c>
      <c r="G31" s="36" t="s">
        <v>38</v>
      </c>
      <c r="I31" s="125">
        <v>1408.3779999999999</v>
      </c>
      <c r="J31" s="126"/>
      <c r="K31" s="127">
        <v>2984.152</v>
      </c>
      <c r="L31" s="128">
        <f t="shared" si="0"/>
        <v>4392.53</v>
      </c>
      <c r="M31" s="125">
        <v>705.70402000000001</v>
      </c>
      <c r="N31" s="126"/>
      <c r="O31" s="134">
        <v>2851.9485700000005</v>
      </c>
      <c r="P31" s="128">
        <f t="shared" si="1"/>
        <v>3557.6525900000006</v>
      </c>
      <c r="Q31" s="125">
        <v>1086.913</v>
      </c>
      <c r="R31" s="126"/>
      <c r="S31" s="134">
        <v>1056.807</v>
      </c>
      <c r="T31" s="128">
        <f t="shared" si="2"/>
        <v>2143.7200000000003</v>
      </c>
      <c r="U31" s="125">
        <v>1046.8130000000001</v>
      </c>
      <c r="V31" s="126"/>
      <c r="W31" s="134">
        <v>1056.807</v>
      </c>
      <c r="X31" s="128">
        <f t="shared" si="3"/>
        <v>2103.62</v>
      </c>
      <c r="Y31" s="125">
        <v>1111.8130000000001</v>
      </c>
      <c r="Z31" s="126"/>
      <c r="AA31" s="134">
        <v>1056.807</v>
      </c>
      <c r="AB31" s="129">
        <f t="shared" si="4"/>
        <v>2168.62</v>
      </c>
      <c r="AC31" s="209">
        <f t="shared" si="5"/>
        <v>9973.6125900000006</v>
      </c>
      <c r="AD31" s="130">
        <v>1111.8130000000001</v>
      </c>
      <c r="AE31" s="131"/>
      <c r="AF31" s="135">
        <v>1056.807</v>
      </c>
      <c r="AG31" s="133">
        <f t="shared" si="6"/>
        <v>2168.62</v>
      </c>
      <c r="AH31" s="130">
        <v>1111.8130000000001</v>
      </c>
      <c r="AI31" s="131"/>
      <c r="AJ31" s="135">
        <v>470.45100000000002</v>
      </c>
      <c r="AK31" s="133">
        <f t="shared" si="7"/>
        <v>1582.2640000000001</v>
      </c>
      <c r="AL31" s="133">
        <f t="shared" si="8"/>
        <v>3750.884</v>
      </c>
      <c r="AM31" s="38"/>
    </row>
    <row r="32" spans="1:39" ht="15" customHeight="1" x14ac:dyDescent="0.25">
      <c r="A32" s="104" t="e">
        <f>+#REF!</f>
        <v>#REF!</v>
      </c>
      <c r="B32" s="103">
        <v>27</v>
      </c>
      <c r="C32" s="196" t="s">
        <v>69</v>
      </c>
      <c r="D32" s="35" t="s">
        <v>24</v>
      </c>
      <c r="E32" s="37" t="s">
        <v>70</v>
      </c>
      <c r="F32" s="36" t="s">
        <v>26</v>
      </c>
      <c r="G32" s="36" t="s">
        <v>36</v>
      </c>
      <c r="I32" s="125">
        <v>187.976</v>
      </c>
      <c r="J32" s="126"/>
      <c r="K32" s="127">
        <v>1838.174</v>
      </c>
      <c r="L32" s="128">
        <f t="shared" si="0"/>
        <v>2026.15</v>
      </c>
      <c r="M32" s="125">
        <v>278.10000000000002</v>
      </c>
      <c r="N32" s="126"/>
      <c r="O32" s="134">
        <v>4162.3999999999996</v>
      </c>
      <c r="P32" s="128">
        <f t="shared" si="1"/>
        <v>4440.5</v>
      </c>
      <c r="Q32" s="125">
        <v>278.10000000000002</v>
      </c>
      <c r="R32" s="126"/>
      <c r="S32" s="134">
        <v>3912.4</v>
      </c>
      <c r="T32" s="128">
        <f t="shared" si="2"/>
        <v>4190.5</v>
      </c>
      <c r="U32" s="125">
        <v>763.1</v>
      </c>
      <c r="V32" s="126"/>
      <c r="W32" s="134">
        <v>3052.4</v>
      </c>
      <c r="X32" s="128">
        <f t="shared" si="3"/>
        <v>3815.5</v>
      </c>
      <c r="Y32" s="125">
        <v>763.1</v>
      </c>
      <c r="Z32" s="126"/>
      <c r="AA32" s="134">
        <v>3052.4</v>
      </c>
      <c r="AB32" s="129">
        <f t="shared" si="4"/>
        <v>3815.5</v>
      </c>
      <c r="AC32" s="209">
        <f t="shared" si="5"/>
        <v>16262</v>
      </c>
      <c r="AD32" s="130">
        <v>763.1</v>
      </c>
      <c r="AE32" s="131"/>
      <c r="AF32" s="135">
        <v>3052.4</v>
      </c>
      <c r="AG32" s="133">
        <f t="shared" si="6"/>
        <v>3815.5</v>
      </c>
      <c r="AH32" s="130">
        <v>763.1</v>
      </c>
      <c r="AI32" s="131"/>
      <c r="AJ32" s="135">
        <v>3052.4</v>
      </c>
      <c r="AK32" s="133">
        <f t="shared" si="7"/>
        <v>3815.5</v>
      </c>
      <c r="AL32" s="133">
        <f t="shared" si="8"/>
        <v>7631</v>
      </c>
      <c r="AM32" s="38"/>
    </row>
    <row r="33" spans="1:39" ht="15" customHeight="1" x14ac:dyDescent="0.25">
      <c r="A33" s="104" t="e">
        <f>+#REF!</f>
        <v>#REF!</v>
      </c>
      <c r="B33" s="103">
        <v>28</v>
      </c>
      <c r="C33" s="196" t="s">
        <v>71</v>
      </c>
      <c r="D33" s="35" t="s">
        <v>24</v>
      </c>
      <c r="E33" s="37" t="s">
        <v>72</v>
      </c>
      <c r="F33" s="36" t="s">
        <v>33</v>
      </c>
      <c r="G33" s="36" t="s">
        <v>36</v>
      </c>
      <c r="I33" s="125">
        <v>3204.6593900000003</v>
      </c>
      <c r="J33" s="126"/>
      <c r="K33" s="127"/>
      <c r="L33" s="128">
        <f t="shared" si="0"/>
        <v>3204.6593900000003</v>
      </c>
      <c r="M33" s="125">
        <v>6000</v>
      </c>
      <c r="N33" s="126"/>
      <c r="O33" s="134"/>
      <c r="P33" s="128">
        <f t="shared" si="1"/>
        <v>6000</v>
      </c>
      <c r="Q33" s="125">
        <v>6000</v>
      </c>
      <c r="R33" s="126"/>
      <c r="S33" s="134"/>
      <c r="T33" s="128">
        <f t="shared" si="2"/>
        <v>6000</v>
      </c>
      <c r="U33" s="125">
        <v>6350</v>
      </c>
      <c r="V33" s="126"/>
      <c r="W33" s="134"/>
      <c r="X33" s="128">
        <f t="shared" si="3"/>
        <v>6350</v>
      </c>
      <c r="Y33" s="125">
        <v>8150</v>
      </c>
      <c r="Z33" s="126"/>
      <c r="AA33" s="134"/>
      <c r="AB33" s="129">
        <f t="shared" si="4"/>
        <v>8150</v>
      </c>
      <c r="AC33" s="209">
        <f t="shared" si="5"/>
        <v>26500</v>
      </c>
      <c r="AD33" s="130">
        <v>8150</v>
      </c>
      <c r="AE33" s="131"/>
      <c r="AF33" s="135"/>
      <c r="AG33" s="133">
        <f t="shared" si="6"/>
        <v>8150</v>
      </c>
      <c r="AH33" s="130">
        <v>8150</v>
      </c>
      <c r="AI33" s="131"/>
      <c r="AJ33" s="135"/>
      <c r="AK33" s="133">
        <f t="shared" si="7"/>
        <v>8150</v>
      </c>
      <c r="AL33" s="133">
        <f t="shared" si="8"/>
        <v>16300</v>
      </c>
      <c r="AM33" s="38"/>
    </row>
    <row r="34" spans="1:39" ht="15" customHeight="1" x14ac:dyDescent="0.25">
      <c r="A34" s="104" t="e">
        <f>+#REF!</f>
        <v>#REF!</v>
      </c>
      <c r="B34" s="103">
        <v>29</v>
      </c>
      <c r="C34" s="196" t="s">
        <v>73</v>
      </c>
      <c r="D34" s="35" t="s">
        <v>24</v>
      </c>
      <c r="E34" s="37" t="s">
        <v>205</v>
      </c>
      <c r="F34" s="36" t="s">
        <v>26</v>
      </c>
      <c r="G34" s="36" t="s">
        <v>36</v>
      </c>
      <c r="I34" s="125">
        <v>385.06351000000001</v>
      </c>
      <c r="J34" s="126">
        <v>90</v>
      </c>
      <c r="K34" s="127">
        <v>539.92047000000002</v>
      </c>
      <c r="L34" s="128">
        <f t="shared" si="0"/>
        <v>1014.98398</v>
      </c>
      <c r="M34" s="125">
        <v>355</v>
      </c>
      <c r="N34" s="126">
        <v>90</v>
      </c>
      <c r="O34" s="134">
        <v>6160</v>
      </c>
      <c r="P34" s="128">
        <f t="shared" si="1"/>
        <v>6605</v>
      </c>
      <c r="Q34" s="125">
        <v>1155</v>
      </c>
      <c r="R34" s="126">
        <v>90</v>
      </c>
      <c r="S34" s="134">
        <v>9360</v>
      </c>
      <c r="T34" s="128">
        <f t="shared" si="2"/>
        <v>10605</v>
      </c>
      <c r="U34" s="125">
        <v>2355</v>
      </c>
      <c r="V34" s="126">
        <v>90</v>
      </c>
      <c r="W34" s="134">
        <v>9160</v>
      </c>
      <c r="X34" s="128">
        <f t="shared" si="3"/>
        <v>11605</v>
      </c>
      <c r="Y34" s="125">
        <v>1555</v>
      </c>
      <c r="Z34" s="126">
        <v>90</v>
      </c>
      <c r="AA34" s="134">
        <v>7860</v>
      </c>
      <c r="AB34" s="129">
        <f t="shared" si="4"/>
        <v>9505</v>
      </c>
      <c r="AC34" s="209">
        <f t="shared" si="5"/>
        <v>38320</v>
      </c>
      <c r="AD34" s="130">
        <v>1555</v>
      </c>
      <c r="AE34" s="131">
        <v>90</v>
      </c>
      <c r="AF34" s="135">
        <v>7860</v>
      </c>
      <c r="AG34" s="133">
        <f t="shared" si="6"/>
        <v>9505</v>
      </c>
      <c r="AH34" s="130">
        <v>1555</v>
      </c>
      <c r="AI34" s="131"/>
      <c r="AJ34" s="135">
        <v>7860</v>
      </c>
      <c r="AK34" s="133">
        <f t="shared" si="7"/>
        <v>9415</v>
      </c>
      <c r="AL34" s="133">
        <f t="shared" si="8"/>
        <v>18920</v>
      </c>
      <c r="AM34" s="38"/>
    </row>
    <row r="35" spans="1:39" ht="15" customHeight="1" x14ac:dyDescent="0.25">
      <c r="A35" s="104"/>
      <c r="B35" s="103">
        <v>30</v>
      </c>
      <c r="C35" s="16"/>
      <c r="D35" s="40"/>
      <c r="E35" s="41"/>
      <c r="F35" s="41"/>
      <c r="G35" s="41"/>
      <c r="I35" s="136"/>
      <c r="J35" s="137"/>
      <c r="K35" s="138"/>
      <c r="L35" s="128"/>
      <c r="M35" s="136"/>
      <c r="N35" s="137"/>
      <c r="O35" s="137"/>
      <c r="P35" s="139"/>
      <c r="Q35" s="137"/>
      <c r="R35" s="137"/>
      <c r="S35" s="137"/>
      <c r="T35" s="128"/>
      <c r="U35" s="137"/>
      <c r="V35" s="137"/>
      <c r="W35" s="137"/>
      <c r="X35" s="129"/>
      <c r="Y35" s="137"/>
      <c r="Z35" s="137"/>
      <c r="AA35" s="137"/>
      <c r="AB35" s="140"/>
      <c r="AC35" s="210"/>
      <c r="AD35" s="141"/>
      <c r="AE35" s="142"/>
      <c r="AF35" s="142"/>
      <c r="AG35" s="143"/>
      <c r="AH35" s="142"/>
      <c r="AI35" s="142"/>
      <c r="AJ35" s="142"/>
      <c r="AK35" s="143"/>
      <c r="AL35" s="143"/>
      <c r="AM35" s="42"/>
    </row>
    <row r="36" spans="1:39" s="47" customFormat="1" ht="15" customHeight="1" x14ac:dyDescent="0.25">
      <c r="A36" s="104" t="e">
        <f>+#REF!</f>
        <v>#REF!</v>
      </c>
      <c r="B36" s="103">
        <v>31</v>
      </c>
      <c r="C36" s="43"/>
      <c r="D36" s="44"/>
      <c r="E36" s="45" t="s">
        <v>74</v>
      </c>
      <c r="F36" s="46"/>
      <c r="G36" s="46"/>
      <c r="H36" s="105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201"/>
      <c r="AC36" s="211"/>
      <c r="AD36" s="145"/>
      <c r="AE36" s="145"/>
      <c r="AF36" s="145"/>
      <c r="AG36" s="145"/>
      <c r="AH36" s="145"/>
      <c r="AI36" s="145"/>
      <c r="AJ36" s="145"/>
      <c r="AK36" s="145"/>
      <c r="AL36" s="145"/>
      <c r="AM36" s="42"/>
    </row>
    <row r="37" spans="1:39" ht="15" customHeight="1" x14ac:dyDescent="0.25">
      <c r="A37" s="104" t="e">
        <f>+#REF!</f>
        <v>#REF!</v>
      </c>
      <c r="B37" s="103">
        <v>32</v>
      </c>
      <c r="C37" s="196" t="s">
        <v>314</v>
      </c>
      <c r="D37" s="35" t="s">
        <v>75</v>
      </c>
      <c r="E37" s="37" t="s">
        <v>194</v>
      </c>
      <c r="F37" s="36" t="s">
        <v>33</v>
      </c>
      <c r="G37" s="36" t="s">
        <v>38</v>
      </c>
      <c r="I37" s="125">
        <v>5</v>
      </c>
      <c r="J37" s="126"/>
      <c r="K37" s="127">
        <v>20</v>
      </c>
      <c r="L37" s="128">
        <f t="shared" si="0"/>
        <v>25</v>
      </c>
      <c r="M37" s="125">
        <v>50</v>
      </c>
      <c r="N37" s="126"/>
      <c r="O37" s="134">
        <v>200</v>
      </c>
      <c r="P37" s="128">
        <f t="shared" ref="P37:P101" si="9">+M37+N37+O37</f>
        <v>250</v>
      </c>
      <c r="Q37" s="125"/>
      <c r="R37" s="126"/>
      <c r="S37" s="134"/>
      <c r="T37" s="128">
        <f t="shared" ref="T37:T101" si="10">+Q37+R37+S37</f>
        <v>0</v>
      </c>
      <c r="U37" s="125"/>
      <c r="V37" s="126"/>
      <c r="W37" s="134"/>
      <c r="X37" s="128">
        <f t="shared" ref="X37:X100" si="11">+U37+V37+W37</f>
        <v>0</v>
      </c>
      <c r="Y37" s="125"/>
      <c r="Z37" s="126"/>
      <c r="AA37" s="134"/>
      <c r="AB37" s="129">
        <f t="shared" ref="AB37:AB100" si="12">+Y37+Z37+AA37</f>
        <v>0</v>
      </c>
      <c r="AC37" s="209">
        <f>+AB37+X37+P37+T37</f>
        <v>250</v>
      </c>
      <c r="AD37" s="130"/>
      <c r="AE37" s="131"/>
      <c r="AF37" s="135"/>
      <c r="AG37" s="133">
        <f t="shared" ref="AG37:AG67" si="13">+AD37+AE37+AF37</f>
        <v>0</v>
      </c>
      <c r="AH37" s="130"/>
      <c r="AI37" s="131"/>
      <c r="AJ37" s="135"/>
      <c r="AK37" s="133">
        <f t="shared" ref="AK37:AK67" si="14">+AH37+AI37+AJ37</f>
        <v>0</v>
      </c>
      <c r="AL37" s="133">
        <f t="shared" ref="AL37:AL67" si="15">+AK37+AG37</f>
        <v>0</v>
      </c>
      <c r="AM37" s="38"/>
    </row>
    <row r="38" spans="1:39" ht="15" customHeight="1" x14ac:dyDescent="0.25">
      <c r="A38" s="104" t="e">
        <f>+#REF!</f>
        <v>#REF!</v>
      </c>
      <c r="B38" s="103">
        <v>33</v>
      </c>
      <c r="C38" s="196" t="s">
        <v>155</v>
      </c>
      <c r="D38" s="35" t="s">
        <v>75</v>
      </c>
      <c r="E38" s="37" t="s">
        <v>196</v>
      </c>
      <c r="F38" s="36" t="s">
        <v>26</v>
      </c>
      <c r="G38" s="36" t="s">
        <v>38</v>
      </c>
      <c r="I38" s="125"/>
      <c r="J38" s="126"/>
      <c r="K38" s="127"/>
      <c r="L38" s="128">
        <f t="shared" si="0"/>
        <v>0</v>
      </c>
      <c r="M38" s="125"/>
      <c r="N38" s="126"/>
      <c r="O38" s="134"/>
      <c r="P38" s="128">
        <f t="shared" si="9"/>
        <v>0</v>
      </c>
      <c r="Q38" s="125"/>
      <c r="R38" s="126"/>
      <c r="S38" s="134"/>
      <c r="T38" s="128">
        <f t="shared" si="10"/>
        <v>0</v>
      </c>
      <c r="U38" s="125"/>
      <c r="V38" s="126"/>
      <c r="W38" s="134"/>
      <c r="X38" s="128">
        <f t="shared" si="11"/>
        <v>0</v>
      </c>
      <c r="Y38" s="125">
        <v>60</v>
      </c>
      <c r="Z38" s="126"/>
      <c r="AA38" s="134"/>
      <c r="AB38" s="129">
        <f t="shared" si="12"/>
        <v>60</v>
      </c>
      <c r="AC38" s="209">
        <f t="shared" ref="AC38:AC67" si="16">+AB38+X38+P38+T38</f>
        <v>60</v>
      </c>
      <c r="AD38" s="130">
        <v>335</v>
      </c>
      <c r="AE38" s="131"/>
      <c r="AF38" s="135"/>
      <c r="AG38" s="133">
        <f t="shared" si="13"/>
        <v>335</v>
      </c>
      <c r="AH38" s="130"/>
      <c r="AI38" s="131"/>
      <c r="AJ38" s="135"/>
      <c r="AK38" s="133">
        <f t="shared" si="14"/>
        <v>0</v>
      </c>
      <c r="AL38" s="133">
        <f t="shared" si="15"/>
        <v>335</v>
      </c>
      <c r="AM38" s="38"/>
    </row>
    <row r="39" spans="1:39" ht="15" customHeight="1" x14ac:dyDescent="0.25">
      <c r="A39" s="104" t="e">
        <f>+#REF!</f>
        <v>#REF!</v>
      </c>
      <c r="B39" s="103">
        <v>34</v>
      </c>
      <c r="C39" s="196" t="s">
        <v>139</v>
      </c>
      <c r="D39" s="35" t="s">
        <v>75</v>
      </c>
      <c r="E39" s="37" t="s">
        <v>76</v>
      </c>
      <c r="F39" s="36" t="s">
        <v>26</v>
      </c>
      <c r="G39" s="36" t="s">
        <v>36</v>
      </c>
      <c r="I39" s="125">
        <v>45.904000000000003</v>
      </c>
      <c r="J39" s="126"/>
      <c r="K39" s="127"/>
      <c r="L39" s="128">
        <f t="shared" ref="L39:L70" si="17">+I39+J39+K39</f>
        <v>45.904000000000003</v>
      </c>
      <c r="M39" s="125"/>
      <c r="N39" s="126"/>
      <c r="O39" s="134"/>
      <c r="P39" s="128">
        <f t="shared" si="9"/>
        <v>0</v>
      </c>
      <c r="Q39" s="125"/>
      <c r="R39" s="126"/>
      <c r="S39" s="134"/>
      <c r="T39" s="128">
        <f t="shared" si="10"/>
        <v>0</v>
      </c>
      <c r="U39" s="125"/>
      <c r="V39" s="126"/>
      <c r="W39" s="134"/>
      <c r="X39" s="128">
        <f t="shared" si="11"/>
        <v>0</v>
      </c>
      <c r="Y39" s="125"/>
      <c r="Z39" s="126"/>
      <c r="AA39" s="134"/>
      <c r="AB39" s="129">
        <f t="shared" si="12"/>
        <v>0</v>
      </c>
      <c r="AC39" s="209">
        <f t="shared" si="16"/>
        <v>0</v>
      </c>
      <c r="AD39" s="130"/>
      <c r="AE39" s="131"/>
      <c r="AF39" s="135"/>
      <c r="AG39" s="133">
        <f t="shared" si="13"/>
        <v>0</v>
      </c>
      <c r="AH39" s="130"/>
      <c r="AI39" s="131"/>
      <c r="AJ39" s="135"/>
      <c r="AK39" s="133">
        <f t="shared" si="14"/>
        <v>0</v>
      </c>
      <c r="AL39" s="133">
        <f t="shared" si="15"/>
        <v>0</v>
      </c>
      <c r="AM39" s="38"/>
    </row>
    <row r="40" spans="1:39" ht="15" customHeight="1" x14ac:dyDescent="0.25">
      <c r="A40" s="104" t="e">
        <f>+#REF!</f>
        <v>#REF!</v>
      </c>
      <c r="B40" s="103">
        <v>35</v>
      </c>
      <c r="C40" s="196" t="s">
        <v>136</v>
      </c>
      <c r="D40" s="35" t="s">
        <v>75</v>
      </c>
      <c r="E40" s="37" t="s">
        <v>188</v>
      </c>
      <c r="F40" s="36" t="s">
        <v>33</v>
      </c>
      <c r="G40" s="36" t="s">
        <v>25</v>
      </c>
      <c r="I40" s="125">
        <v>3.7</v>
      </c>
      <c r="J40" s="126"/>
      <c r="K40" s="127">
        <v>14.87</v>
      </c>
      <c r="L40" s="128">
        <f t="shared" si="17"/>
        <v>18.57</v>
      </c>
      <c r="M40" s="125"/>
      <c r="N40" s="126"/>
      <c r="O40" s="134">
        <v>30</v>
      </c>
      <c r="P40" s="128">
        <f t="shared" si="9"/>
        <v>30</v>
      </c>
      <c r="Q40" s="125"/>
      <c r="R40" s="126"/>
      <c r="S40" s="134">
        <v>650</v>
      </c>
      <c r="T40" s="128">
        <f t="shared" si="10"/>
        <v>650</v>
      </c>
      <c r="U40" s="125"/>
      <c r="V40" s="126"/>
      <c r="W40" s="134"/>
      <c r="X40" s="128">
        <f t="shared" si="11"/>
        <v>0</v>
      </c>
      <c r="Y40" s="125"/>
      <c r="Z40" s="126"/>
      <c r="AA40" s="134"/>
      <c r="AB40" s="129">
        <f t="shared" si="12"/>
        <v>0</v>
      </c>
      <c r="AC40" s="209">
        <f t="shared" si="16"/>
        <v>680</v>
      </c>
      <c r="AD40" s="130"/>
      <c r="AE40" s="131"/>
      <c r="AF40" s="135"/>
      <c r="AG40" s="133">
        <f t="shared" si="13"/>
        <v>0</v>
      </c>
      <c r="AH40" s="130"/>
      <c r="AI40" s="131"/>
      <c r="AJ40" s="135"/>
      <c r="AK40" s="133">
        <f t="shared" si="14"/>
        <v>0</v>
      </c>
      <c r="AL40" s="133">
        <f t="shared" si="15"/>
        <v>0</v>
      </c>
      <c r="AM40" s="38"/>
    </row>
    <row r="41" spans="1:39" ht="15" customHeight="1" x14ac:dyDescent="0.25">
      <c r="A41" s="104" t="e">
        <f>+#REF!</f>
        <v>#REF!</v>
      </c>
      <c r="B41" s="103">
        <v>36</v>
      </c>
      <c r="C41" s="196" t="s">
        <v>256</v>
      </c>
      <c r="D41" s="35" t="s">
        <v>75</v>
      </c>
      <c r="E41" s="37" t="s">
        <v>78</v>
      </c>
      <c r="F41" s="36" t="s">
        <v>33</v>
      </c>
      <c r="G41" s="36" t="s">
        <v>25</v>
      </c>
      <c r="I41" s="125">
        <v>130.6</v>
      </c>
      <c r="J41" s="126"/>
      <c r="K41" s="127"/>
      <c r="L41" s="128">
        <f t="shared" si="17"/>
        <v>130.6</v>
      </c>
      <c r="M41" s="125"/>
      <c r="N41" s="126"/>
      <c r="O41" s="134"/>
      <c r="P41" s="128">
        <f t="shared" si="9"/>
        <v>0</v>
      </c>
      <c r="Q41" s="125"/>
      <c r="R41" s="126"/>
      <c r="S41" s="134"/>
      <c r="T41" s="128">
        <f t="shared" si="10"/>
        <v>0</v>
      </c>
      <c r="U41" s="125"/>
      <c r="V41" s="126"/>
      <c r="W41" s="134"/>
      <c r="X41" s="128">
        <f t="shared" si="11"/>
        <v>0</v>
      </c>
      <c r="Y41" s="125"/>
      <c r="Z41" s="126"/>
      <c r="AA41" s="134"/>
      <c r="AB41" s="129">
        <f t="shared" si="12"/>
        <v>0</v>
      </c>
      <c r="AC41" s="209">
        <f t="shared" si="16"/>
        <v>0</v>
      </c>
      <c r="AD41" s="130"/>
      <c r="AE41" s="131"/>
      <c r="AF41" s="135"/>
      <c r="AG41" s="133">
        <f t="shared" si="13"/>
        <v>0</v>
      </c>
      <c r="AH41" s="130"/>
      <c r="AI41" s="131"/>
      <c r="AJ41" s="135"/>
      <c r="AK41" s="133">
        <f t="shared" si="14"/>
        <v>0</v>
      </c>
      <c r="AL41" s="133">
        <f t="shared" si="15"/>
        <v>0</v>
      </c>
      <c r="AM41" s="38"/>
    </row>
    <row r="42" spans="1:39" ht="15" customHeight="1" x14ac:dyDescent="0.25">
      <c r="A42" s="104" t="e">
        <f>+#REF!</f>
        <v>#REF!</v>
      </c>
      <c r="B42" s="103">
        <v>37</v>
      </c>
      <c r="C42" s="196" t="s">
        <v>257</v>
      </c>
      <c r="D42" s="35" t="s">
        <v>75</v>
      </c>
      <c r="E42" s="37" t="s">
        <v>189</v>
      </c>
      <c r="F42" s="36" t="s">
        <v>33</v>
      </c>
      <c r="G42" s="36" t="s">
        <v>25</v>
      </c>
      <c r="I42" s="125"/>
      <c r="J42" s="126"/>
      <c r="K42" s="127"/>
      <c r="L42" s="128">
        <f t="shared" si="17"/>
        <v>0</v>
      </c>
      <c r="M42" s="125"/>
      <c r="N42" s="126"/>
      <c r="O42" s="134">
        <v>30</v>
      </c>
      <c r="P42" s="128">
        <f t="shared" si="9"/>
        <v>30</v>
      </c>
      <c r="Q42" s="125"/>
      <c r="R42" s="126"/>
      <c r="S42" s="134">
        <v>30</v>
      </c>
      <c r="T42" s="128">
        <f t="shared" si="10"/>
        <v>30</v>
      </c>
      <c r="U42" s="125">
        <v>135</v>
      </c>
      <c r="V42" s="126"/>
      <c r="W42" s="134">
        <v>540</v>
      </c>
      <c r="X42" s="128">
        <f t="shared" si="11"/>
        <v>675</v>
      </c>
      <c r="Y42" s="125"/>
      <c r="Z42" s="126"/>
      <c r="AA42" s="134"/>
      <c r="AB42" s="129">
        <f t="shared" si="12"/>
        <v>0</v>
      </c>
      <c r="AC42" s="209">
        <f t="shared" si="16"/>
        <v>735</v>
      </c>
      <c r="AD42" s="130"/>
      <c r="AE42" s="131"/>
      <c r="AF42" s="135"/>
      <c r="AG42" s="133">
        <f t="shared" si="13"/>
        <v>0</v>
      </c>
      <c r="AH42" s="130"/>
      <c r="AI42" s="131"/>
      <c r="AJ42" s="135"/>
      <c r="AK42" s="133">
        <f t="shared" si="14"/>
        <v>0</v>
      </c>
      <c r="AL42" s="133">
        <f t="shared" si="15"/>
        <v>0</v>
      </c>
      <c r="AM42" s="38"/>
    </row>
    <row r="43" spans="1:39" ht="15" customHeight="1" x14ac:dyDescent="0.25">
      <c r="A43" s="104" t="e">
        <f>+#REF!</f>
        <v>#REF!</v>
      </c>
      <c r="B43" s="103">
        <v>38</v>
      </c>
      <c r="C43" s="196" t="s">
        <v>258</v>
      </c>
      <c r="D43" s="35" t="s">
        <v>75</v>
      </c>
      <c r="E43" s="37" t="s">
        <v>80</v>
      </c>
      <c r="F43" s="36" t="s">
        <v>33</v>
      </c>
      <c r="G43" s="36" t="s">
        <v>25</v>
      </c>
      <c r="I43" s="125">
        <v>64.239999999999995</v>
      </c>
      <c r="J43" s="126"/>
      <c r="K43" s="127">
        <v>256.95999999999998</v>
      </c>
      <c r="L43" s="128">
        <f t="shared" si="17"/>
        <v>321.2</v>
      </c>
      <c r="M43" s="125"/>
      <c r="N43" s="126"/>
      <c r="O43" s="134">
        <v>2125</v>
      </c>
      <c r="P43" s="128">
        <f t="shared" si="9"/>
        <v>2125</v>
      </c>
      <c r="Q43" s="125"/>
      <c r="R43" s="126"/>
      <c r="S43" s="134">
        <v>2875</v>
      </c>
      <c r="T43" s="128">
        <f t="shared" si="10"/>
        <v>2875</v>
      </c>
      <c r="U43" s="125"/>
      <c r="V43" s="126"/>
      <c r="W43" s="134"/>
      <c r="X43" s="128">
        <f t="shared" si="11"/>
        <v>0</v>
      </c>
      <c r="Y43" s="125"/>
      <c r="Z43" s="126"/>
      <c r="AA43" s="134"/>
      <c r="AB43" s="129">
        <f t="shared" si="12"/>
        <v>0</v>
      </c>
      <c r="AC43" s="209">
        <f t="shared" si="16"/>
        <v>5000</v>
      </c>
      <c r="AD43" s="130"/>
      <c r="AE43" s="131"/>
      <c r="AF43" s="135"/>
      <c r="AG43" s="133">
        <f t="shared" si="13"/>
        <v>0</v>
      </c>
      <c r="AH43" s="130"/>
      <c r="AI43" s="131"/>
      <c r="AJ43" s="135"/>
      <c r="AK43" s="133">
        <f t="shared" si="14"/>
        <v>0</v>
      </c>
      <c r="AL43" s="133">
        <f t="shared" si="15"/>
        <v>0</v>
      </c>
      <c r="AM43" s="38"/>
    </row>
    <row r="44" spans="1:39" ht="15" customHeight="1" x14ac:dyDescent="0.25">
      <c r="A44" s="104" t="e">
        <f>+#REF!</f>
        <v>#REF!</v>
      </c>
      <c r="B44" s="103">
        <v>39</v>
      </c>
      <c r="C44" s="196" t="s">
        <v>259</v>
      </c>
      <c r="D44" s="35" t="s">
        <v>75</v>
      </c>
      <c r="E44" s="37" t="s">
        <v>239</v>
      </c>
      <c r="F44" s="36" t="s">
        <v>33</v>
      </c>
      <c r="G44" s="36" t="s">
        <v>36</v>
      </c>
      <c r="I44" s="125">
        <v>3.15</v>
      </c>
      <c r="J44" s="126"/>
      <c r="K44" s="127">
        <v>12.6</v>
      </c>
      <c r="L44" s="128">
        <f t="shared" si="17"/>
        <v>15.75</v>
      </c>
      <c r="M44" s="125">
        <v>3.99</v>
      </c>
      <c r="N44" s="126"/>
      <c r="O44" s="134">
        <v>15.96</v>
      </c>
      <c r="P44" s="128">
        <f t="shared" si="9"/>
        <v>19.950000000000003</v>
      </c>
      <c r="Q44" s="125">
        <v>227.24</v>
      </c>
      <c r="R44" s="126"/>
      <c r="S44" s="134">
        <v>908.96</v>
      </c>
      <c r="T44" s="128">
        <f t="shared" si="10"/>
        <v>1136.2</v>
      </c>
      <c r="U44" s="125"/>
      <c r="V44" s="126"/>
      <c r="W44" s="134"/>
      <c r="X44" s="128">
        <f t="shared" si="11"/>
        <v>0</v>
      </c>
      <c r="Y44" s="125"/>
      <c r="Z44" s="126"/>
      <c r="AA44" s="134"/>
      <c r="AB44" s="129">
        <f t="shared" si="12"/>
        <v>0</v>
      </c>
      <c r="AC44" s="209">
        <f>+AB44+X44+P44+T44</f>
        <v>1156.1500000000001</v>
      </c>
      <c r="AD44" s="130"/>
      <c r="AE44" s="131"/>
      <c r="AF44" s="135"/>
      <c r="AG44" s="133">
        <f t="shared" si="13"/>
        <v>0</v>
      </c>
      <c r="AH44" s="130"/>
      <c r="AI44" s="131"/>
      <c r="AJ44" s="135"/>
      <c r="AK44" s="133">
        <f t="shared" si="14"/>
        <v>0</v>
      </c>
      <c r="AL44" s="133">
        <f t="shared" si="15"/>
        <v>0</v>
      </c>
      <c r="AM44" s="38"/>
    </row>
    <row r="45" spans="1:39" ht="15" customHeight="1" x14ac:dyDescent="0.25">
      <c r="A45" s="104" t="e">
        <f>+#REF!</f>
        <v>#REF!</v>
      </c>
      <c r="B45" s="103">
        <v>40</v>
      </c>
      <c r="C45" s="196" t="s">
        <v>260</v>
      </c>
      <c r="D45" s="35" t="s">
        <v>75</v>
      </c>
      <c r="E45" s="37" t="s">
        <v>240</v>
      </c>
      <c r="F45" s="36" t="s">
        <v>33</v>
      </c>
      <c r="G45" s="36" t="s">
        <v>25</v>
      </c>
      <c r="I45" s="125">
        <v>4</v>
      </c>
      <c r="J45" s="126"/>
      <c r="K45" s="127">
        <v>16</v>
      </c>
      <c r="L45" s="128">
        <f t="shared" si="17"/>
        <v>20</v>
      </c>
      <c r="M45" s="125">
        <v>5</v>
      </c>
      <c r="N45" s="126"/>
      <c r="O45" s="134">
        <v>20</v>
      </c>
      <c r="P45" s="128">
        <f t="shared" si="9"/>
        <v>25</v>
      </c>
      <c r="Q45" s="125">
        <v>76</v>
      </c>
      <c r="R45" s="126"/>
      <c r="S45" s="134">
        <v>304</v>
      </c>
      <c r="T45" s="128">
        <f t="shared" si="10"/>
        <v>380</v>
      </c>
      <c r="U45" s="125"/>
      <c r="V45" s="126"/>
      <c r="W45" s="134"/>
      <c r="X45" s="128">
        <f t="shared" si="11"/>
        <v>0</v>
      </c>
      <c r="Y45" s="125"/>
      <c r="Z45" s="126"/>
      <c r="AA45" s="134"/>
      <c r="AB45" s="129">
        <f t="shared" si="12"/>
        <v>0</v>
      </c>
      <c r="AC45" s="209">
        <f t="shared" si="16"/>
        <v>405</v>
      </c>
      <c r="AD45" s="130"/>
      <c r="AE45" s="131"/>
      <c r="AF45" s="135"/>
      <c r="AG45" s="133">
        <f t="shared" si="13"/>
        <v>0</v>
      </c>
      <c r="AH45" s="130"/>
      <c r="AI45" s="131"/>
      <c r="AJ45" s="135"/>
      <c r="AK45" s="133">
        <f t="shared" si="14"/>
        <v>0</v>
      </c>
      <c r="AL45" s="133">
        <f t="shared" si="15"/>
        <v>0</v>
      </c>
      <c r="AM45" s="38"/>
    </row>
    <row r="46" spans="1:39" ht="15" customHeight="1" x14ac:dyDescent="0.25">
      <c r="A46" s="104" t="e">
        <f>+#REF!</f>
        <v>#REF!</v>
      </c>
      <c r="B46" s="103">
        <v>41</v>
      </c>
      <c r="C46" s="196" t="s">
        <v>77</v>
      </c>
      <c r="D46" s="35" t="s">
        <v>75</v>
      </c>
      <c r="E46" s="37" t="s">
        <v>221</v>
      </c>
      <c r="F46" s="36" t="s">
        <v>33</v>
      </c>
      <c r="G46" s="36" t="s">
        <v>25</v>
      </c>
      <c r="I46" s="125">
        <v>60</v>
      </c>
      <c r="J46" s="126"/>
      <c r="K46" s="127">
        <v>240</v>
      </c>
      <c r="L46" s="128">
        <f t="shared" si="17"/>
        <v>300</v>
      </c>
      <c r="M46" s="125">
        <v>10</v>
      </c>
      <c r="N46" s="126"/>
      <c r="O46" s="134">
        <v>74</v>
      </c>
      <c r="P46" s="128">
        <f t="shared" si="9"/>
        <v>84</v>
      </c>
      <c r="Q46" s="125"/>
      <c r="R46" s="126"/>
      <c r="S46" s="134">
        <v>3143</v>
      </c>
      <c r="T46" s="128">
        <f t="shared" si="10"/>
        <v>3143</v>
      </c>
      <c r="U46" s="125"/>
      <c r="V46" s="126"/>
      <c r="W46" s="134"/>
      <c r="X46" s="128">
        <f t="shared" si="11"/>
        <v>0</v>
      </c>
      <c r="Y46" s="125"/>
      <c r="Z46" s="126"/>
      <c r="AA46" s="134"/>
      <c r="AB46" s="129">
        <f t="shared" si="12"/>
        <v>0</v>
      </c>
      <c r="AC46" s="209">
        <f t="shared" si="16"/>
        <v>3227</v>
      </c>
      <c r="AD46" s="130"/>
      <c r="AE46" s="131"/>
      <c r="AF46" s="135"/>
      <c r="AG46" s="133">
        <f t="shared" si="13"/>
        <v>0</v>
      </c>
      <c r="AH46" s="130"/>
      <c r="AI46" s="131"/>
      <c r="AJ46" s="135"/>
      <c r="AK46" s="133">
        <f t="shared" si="14"/>
        <v>0</v>
      </c>
      <c r="AL46" s="133">
        <f t="shared" si="15"/>
        <v>0</v>
      </c>
      <c r="AM46" s="38"/>
    </row>
    <row r="47" spans="1:39" ht="15" customHeight="1" x14ac:dyDescent="0.25">
      <c r="A47" s="104" t="e">
        <f>+#REF!</f>
        <v>#REF!</v>
      </c>
      <c r="B47" s="103">
        <v>42</v>
      </c>
      <c r="C47" s="196" t="s">
        <v>79</v>
      </c>
      <c r="D47" s="35" t="s">
        <v>75</v>
      </c>
      <c r="E47" s="37" t="s">
        <v>252</v>
      </c>
      <c r="F47" s="36" t="s">
        <v>33</v>
      </c>
      <c r="G47" s="36" t="s">
        <v>25</v>
      </c>
      <c r="I47" s="125">
        <v>7.46</v>
      </c>
      <c r="J47" s="126"/>
      <c r="K47" s="127">
        <v>29.84</v>
      </c>
      <c r="L47" s="128">
        <f t="shared" si="17"/>
        <v>37.299999999999997</v>
      </c>
      <c r="M47" s="125">
        <v>9.26</v>
      </c>
      <c r="N47" s="126"/>
      <c r="O47" s="134">
        <v>37.04</v>
      </c>
      <c r="P47" s="128">
        <f t="shared" si="9"/>
        <v>46.3</v>
      </c>
      <c r="Q47" s="125">
        <v>101.10299999999999</v>
      </c>
      <c r="R47" s="126"/>
      <c r="S47" s="134">
        <v>404.41</v>
      </c>
      <c r="T47" s="128">
        <f t="shared" si="10"/>
        <v>505.51300000000003</v>
      </c>
      <c r="U47" s="125"/>
      <c r="V47" s="126"/>
      <c r="W47" s="134"/>
      <c r="X47" s="128">
        <f t="shared" si="11"/>
        <v>0</v>
      </c>
      <c r="Y47" s="125"/>
      <c r="Z47" s="126"/>
      <c r="AA47" s="134"/>
      <c r="AB47" s="129">
        <f t="shared" si="12"/>
        <v>0</v>
      </c>
      <c r="AC47" s="209">
        <f t="shared" si="16"/>
        <v>551.81299999999999</v>
      </c>
      <c r="AD47" s="130"/>
      <c r="AE47" s="131"/>
      <c r="AF47" s="135"/>
      <c r="AG47" s="133">
        <f t="shared" si="13"/>
        <v>0</v>
      </c>
      <c r="AH47" s="130"/>
      <c r="AI47" s="131"/>
      <c r="AJ47" s="135"/>
      <c r="AK47" s="133">
        <f t="shared" si="14"/>
        <v>0</v>
      </c>
      <c r="AL47" s="133">
        <f t="shared" si="15"/>
        <v>0</v>
      </c>
      <c r="AM47" s="38"/>
    </row>
    <row r="48" spans="1:39" ht="15" customHeight="1" x14ac:dyDescent="0.25">
      <c r="A48" s="104" t="e">
        <f>+#REF!</f>
        <v>#REF!</v>
      </c>
      <c r="B48" s="103">
        <v>43</v>
      </c>
      <c r="C48" s="196" t="s">
        <v>81</v>
      </c>
      <c r="D48" s="35" t="s">
        <v>75</v>
      </c>
      <c r="E48" s="37" t="s">
        <v>236</v>
      </c>
      <c r="F48" s="36" t="s">
        <v>33</v>
      </c>
      <c r="G48" s="36" t="s">
        <v>25</v>
      </c>
      <c r="I48" s="125">
        <v>11</v>
      </c>
      <c r="J48" s="126"/>
      <c r="K48" s="127">
        <v>44</v>
      </c>
      <c r="L48" s="128">
        <f t="shared" si="17"/>
        <v>55</v>
      </c>
      <c r="M48" s="125">
        <v>5.625</v>
      </c>
      <c r="N48" s="126"/>
      <c r="O48" s="134">
        <v>22.5</v>
      </c>
      <c r="P48" s="128">
        <f t="shared" si="9"/>
        <v>28.125</v>
      </c>
      <c r="Q48" s="125">
        <v>120</v>
      </c>
      <c r="R48" s="126"/>
      <c r="S48" s="134">
        <v>480</v>
      </c>
      <c r="T48" s="128">
        <f t="shared" si="10"/>
        <v>600</v>
      </c>
      <c r="U48" s="125"/>
      <c r="V48" s="126"/>
      <c r="W48" s="134"/>
      <c r="X48" s="128">
        <f t="shared" si="11"/>
        <v>0</v>
      </c>
      <c r="Y48" s="125"/>
      <c r="Z48" s="126"/>
      <c r="AA48" s="134"/>
      <c r="AB48" s="129">
        <f t="shared" si="12"/>
        <v>0</v>
      </c>
      <c r="AC48" s="209">
        <f t="shared" si="16"/>
        <v>628.125</v>
      </c>
      <c r="AD48" s="130"/>
      <c r="AE48" s="131"/>
      <c r="AF48" s="135"/>
      <c r="AG48" s="133">
        <f t="shared" si="13"/>
        <v>0</v>
      </c>
      <c r="AH48" s="130"/>
      <c r="AI48" s="131"/>
      <c r="AJ48" s="135"/>
      <c r="AK48" s="133">
        <f t="shared" si="14"/>
        <v>0</v>
      </c>
      <c r="AL48" s="133">
        <f t="shared" si="15"/>
        <v>0</v>
      </c>
      <c r="AM48" s="38"/>
    </row>
    <row r="49" spans="1:39" ht="15" customHeight="1" x14ac:dyDescent="0.25">
      <c r="A49" s="104" t="e">
        <f>+#REF!</f>
        <v>#REF!</v>
      </c>
      <c r="B49" s="103">
        <v>44</v>
      </c>
      <c r="C49" s="196" t="s">
        <v>261</v>
      </c>
      <c r="D49" s="35" t="s">
        <v>75</v>
      </c>
      <c r="E49" s="37" t="s">
        <v>190</v>
      </c>
      <c r="F49" s="36" t="s">
        <v>33</v>
      </c>
      <c r="G49" s="36" t="s">
        <v>25</v>
      </c>
      <c r="I49" s="125">
        <v>3.9580000000000002</v>
      </c>
      <c r="J49" s="126"/>
      <c r="K49" s="127">
        <v>940.83299999999997</v>
      </c>
      <c r="L49" s="128">
        <f t="shared" si="17"/>
        <v>944.79099999999994</v>
      </c>
      <c r="M49" s="125"/>
      <c r="N49" s="126"/>
      <c r="O49" s="134"/>
      <c r="P49" s="128">
        <f t="shared" si="9"/>
        <v>0</v>
      </c>
      <c r="Q49" s="125"/>
      <c r="R49" s="126"/>
      <c r="S49" s="134"/>
      <c r="T49" s="128">
        <f t="shared" si="10"/>
        <v>0</v>
      </c>
      <c r="U49" s="125"/>
      <c r="V49" s="126"/>
      <c r="W49" s="134"/>
      <c r="X49" s="128">
        <f t="shared" si="11"/>
        <v>0</v>
      </c>
      <c r="Y49" s="125"/>
      <c r="Z49" s="126"/>
      <c r="AA49" s="134"/>
      <c r="AB49" s="129">
        <f t="shared" si="12"/>
        <v>0</v>
      </c>
      <c r="AC49" s="209">
        <f t="shared" si="16"/>
        <v>0</v>
      </c>
      <c r="AD49" s="130"/>
      <c r="AE49" s="131"/>
      <c r="AF49" s="135"/>
      <c r="AG49" s="133">
        <f t="shared" si="13"/>
        <v>0</v>
      </c>
      <c r="AH49" s="130"/>
      <c r="AI49" s="131"/>
      <c r="AJ49" s="135"/>
      <c r="AK49" s="133">
        <f t="shared" si="14"/>
        <v>0</v>
      </c>
      <c r="AL49" s="133">
        <f t="shared" si="15"/>
        <v>0</v>
      </c>
      <c r="AM49" s="38"/>
    </row>
    <row r="50" spans="1:39" ht="15" customHeight="1" x14ac:dyDescent="0.25">
      <c r="A50" s="104" t="e">
        <f>+#REF!</f>
        <v>#REF!</v>
      </c>
      <c r="B50" s="103">
        <v>45</v>
      </c>
      <c r="C50" s="196" t="s">
        <v>82</v>
      </c>
      <c r="D50" s="35" t="s">
        <v>75</v>
      </c>
      <c r="E50" s="37" t="s">
        <v>251</v>
      </c>
      <c r="F50" s="36" t="s">
        <v>33</v>
      </c>
      <c r="G50" s="36" t="s">
        <v>36</v>
      </c>
      <c r="I50" s="125">
        <v>4</v>
      </c>
      <c r="J50" s="126"/>
      <c r="K50" s="127">
        <v>16</v>
      </c>
      <c r="L50" s="128">
        <f t="shared" si="17"/>
        <v>20</v>
      </c>
      <c r="M50" s="125">
        <v>8.76</v>
      </c>
      <c r="N50" s="126"/>
      <c r="O50" s="134">
        <v>35.04</v>
      </c>
      <c r="P50" s="128">
        <f t="shared" si="9"/>
        <v>43.8</v>
      </c>
      <c r="Q50" s="125">
        <v>66.292000000000002</v>
      </c>
      <c r="R50" s="126"/>
      <c r="S50" s="134">
        <v>265.16800000000001</v>
      </c>
      <c r="T50" s="128">
        <f t="shared" si="10"/>
        <v>331.46000000000004</v>
      </c>
      <c r="U50" s="125"/>
      <c r="V50" s="126"/>
      <c r="W50" s="134"/>
      <c r="X50" s="128">
        <f t="shared" si="11"/>
        <v>0</v>
      </c>
      <c r="Y50" s="125"/>
      <c r="Z50" s="126"/>
      <c r="AA50" s="134"/>
      <c r="AB50" s="129">
        <f t="shared" si="12"/>
        <v>0</v>
      </c>
      <c r="AC50" s="209">
        <f t="shared" si="16"/>
        <v>375.26000000000005</v>
      </c>
      <c r="AD50" s="130"/>
      <c r="AE50" s="131"/>
      <c r="AF50" s="135"/>
      <c r="AG50" s="133">
        <f t="shared" si="13"/>
        <v>0</v>
      </c>
      <c r="AH50" s="130"/>
      <c r="AI50" s="131"/>
      <c r="AJ50" s="135"/>
      <c r="AK50" s="133">
        <f t="shared" si="14"/>
        <v>0</v>
      </c>
      <c r="AL50" s="133">
        <f t="shared" si="15"/>
        <v>0</v>
      </c>
      <c r="AM50" s="38"/>
    </row>
    <row r="51" spans="1:39" ht="15" customHeight="1" x14ac:dyDescent="0.25">
      <c r="A51" s="104" t="e">
        <f>+#REF!</f>
        <v>#REF!</v>
      </c>
      <c r="B51" s="103">
        <v>46</v>
      </c>
      <c r="C51" s="196" t="s">
        <v>83</v>
      </c>
      <c r="D51" s="35" t="s">
        <v>75</v>
      </c>
      <c r="E51" s="37" t="s">
        <v>84</v>
      </c>
      <c r="F51" s="36" t="s">
        <v>33</v>
      </c>
      <c r="G51" s="36" t="s">
        <v>25</v>
      </c>
      <c r="I51" s="125">
        <v>25.157</v>
      </c>
      <c r="J51" s="126"/>
      <c r="K51" s="127">
        <v>100.629</v>
      </c>
      <c r="L51" s="128">
        <f t="shared" si="17"/>
        <v>125.786</v>
      </c>
      <c r="M51" s="125"/>
      <c r="N51" s="126"/>
      <c r="O51" s="134"/>
      <c r="P51" s="128">
        <f t="shared" si="9"/>
        <v>0</v>
      </c>
      <c r="Q51" s="125"/>
      <c r="R51" s="126"/>
      <c r="S51" s="134"/>
      <c r="T51" s="128">
        <f t="shared" si="10"/>
        <v>0</v>
      </c>
      <c r="U51" s="125"/>
      <c r="V51" s="126"/>
      <c r="W51" s="134"/>
      <c r="X51" s="128">
        <f t="shared" si="11"/>
        <v>0</v>
      </c>
      <c r="Y51" s="125"/>
      <c r="Z51" s="126"/>
      <c r="AA51" s="134"/>
      <c r="AB51" s="129">
        <f t="shared" si="12"/>
        <v>0</v>
      </c>
      <c r="AC51" s="209">
        <f t="shared" si="16"/>
        <v>0</v>
      </c>
      <c r="AD51" s="130"/>
      <c r="AE51" s="131"/>
      <c r="AF51" s="135"/>
      <c r="AG51" s="133">
        <f t="shared" si="13"/>
        <v>0</v>
      </c>
      <c r="AH51" s="130"/>
      <c r="AI51" s="131"/>
      <c r="AJ51" s="135"/>
      <c r="AK51" s="133">
        <f t="shared" si="14"/>
        <v>0</v>
      </c>
      <c r="AL51" s="133">
        <f t="shared" si="15"/>
        <v>0</v>
      </c>
      <c r="AM51" s="38"/>
    </row>
    <row r="52" spans="1:39" ht="15" customHeight="1" x14ac:dyDescent="0.25">
      <c r="A52" s="104" t="e">
        <f>+#REF!</f>
        <v>#REF!</v>
      </c>
      <c r="B52" s="103">
        <v>47</v>
      </c>
      <c r="C52" s="196" t="s">
        <v>262</v>
      </c>
      <c r="D52" s="35" t="s">
        <v>75</v>
      </c>
      <c r="E52" s="37" t="s">
        <v>222</v>
      </c>
      <c r="F52" s="36" t="s">
        <v>33</v>
      </c>
      <c r="G52" s="36" t="s">
        <v>25</v>
      </c>
      <c r="I52" s="125">
        <v>40</v>
      </c>
      <c r="J52" s="126"/>
      <c r="K52" s="127">
        <v>160</v>
      </c>
      <c r="L52" s="128">
        <f t="shared" si="17"/>
        <v>200</v>
      </c>
      <c r="M52" s="125">
        <v>8</v>
      </c>
      <c r="N52" s="126"/>
      <c r="O52" s="134">
        <v>60</v>
      </c>
      <c r="P52" s="128">
        <f t="shared" si="9"/>
        <v>68</v>
      </c>
      <c r="Q52" s="125">
        <v>80.599999999999994</v>
      </c>
      <c r="R52" s="126"/>
      <c r="S52" s="134">
        <v>322.39999999999998</v>
      </c>
      <c r="T52" s="128">
        <f t="shared" si="10"/>
        <v>403</v>
      </c>
      <c r="U52" s="125"/>
      <c r="V52" s="126"/>
      <c r="W52" s="134"/>
      <c r="X52" s="128">
        <f t="shared" si="11"/>
        <v>0</v>
      </c>
      <c r="Y52" s="125"/>
      <c r="Z52" s="126"/>
      <c r="AA52" s="134"/>
      <c r="AB52" s="129">
        <f t="shared" si="12"/>
        <v>0</v>
      </c>
      <c r="AC52" s="209">
        <f t="shared" si="16"/>
        <v>471</v>
      </c>
      <c r="AD52" s="130"/>
      <c r="AE52" s="131"/>
      <c r="AF52" s="135"/>
      <c r="AG52" s="133">
        <f t="shared" si="13"/>
        <v>0</v>
      </c>
      <c r="AH52" s="130"/>
      <c r="AI52" s="131"/>
      <c r="AJ52" s="135"/>
      <c r="AK52" s="133">
        <f t="shared" si="14"/>
        <v>0</v>
      </c>
      <c r="AL52" s="133">
        <f t="shared" si="15"/>
        <v>0</v>
      </c>
      <c r="AM52" s="38"/>
    </row>
    <row r="53" spans="1:39" ht="15" customHeight="1" x14ac:dyDescent="0.25">
      <c r="A53" s="104" t="e">
        <f>+#REF!</f>
        <v>#REF!</v>
      </c>
      <c r="B53" s="103">
        <v>48</v>
      </c>
      <c r="C53" s="196" t="s">
        <v>263</v>
      </c>
      <c r="D53" s="35" t="s">
        <v>75</v>
      </c>
      <c r="E53" s="37" t="s">
        <v>250</v>
      </c>
      <c r="F53" s="36" t="s">
        <v>33</v>
      </c>
      <c r="G53" s="36" t="s">
        <v>25</v>
      </c>
      <c r="I53" s="125">
        <v>7.46</v>
      </c>
      <c r="J53" s="126"/>
      <c r="K53" s="127">
        <v>29.84</v>
      </c>
      <c r="L53" s="128">
        <f t="shared" si="17"/>
        <v>37.299999999999997</v>
      </c>
      <c r="M53" s="125">
        <v>9.26</v>
      </c>
      <c r="N53" s="126"/>
      <c r="O53" s="134">
        <v>37.04</v>
      </c>
      <c r="P53" s="128">
        <f t="shared" si="9"/>
        <v>46.3</v>
      </c>
      <c r="Q53" s="125">
        <v>105.898</v>
      </c>
      <c r="R53" s="126"/>
      <c r="S53" s="134">
        <v>423.59199999999998</v>
      </c>
      <c r="T53" s="128">
        <f t="shared" si="10"/>
        <v>529.49</v>
      </c>
      <c r="U53" s="125"/>
      <c r="V53" s="126"/>
      <c r="W53" s="134"/>
      <c r="X53" s="128">
        <f t="shared" si="11"/>
        <v>0</v>
      </c>
      <c r="Y53" s="125"/>
      <c r="Z53" s="126"/>
      <c r="AA53" s="134"/>
      <c r="AB53" s="129">
        <f t="shared" si="12"/>
        <v>0</v>
      </c>
      <c r="AC53" s="209">
        <f t="shared" si="16"/>
        <v>575.79</v>
      </c>
      <c r="AD53" s="130"/>
      <c r="AE53" s="131"/>
      <c r="AF53" s="135"/>
      <c r="AG53" s="133">
        <f t="shared" si="13"/>
        <v>0</v>
      </c>
      <c r="AH53" s="130"/>
      <c r="AI53" s="131"/>
      <c r="AJ53" s="135"/>
      <c r="AK53" s="133">
        <f t="shared" si="14"/>
        <v>0</v>
      </c>
      <c r="AL53" s="133">
        <f t="shared" si="15"/>
        <v>0</v>
      </c>
      <c r="AM53" s="38"/>
    </row>
    <row r="54" spans="1:39" ht="15" customHeight="1" x14ac:dyDescent="0.25">
      <c r="A54" s="104" t="e">
        <f>+#REF!</f>
        <v>#REF!</v>
      </c>
      <c r="B54" s="103">
        <v>49</v>
      </c>
      <c r="C54" s="196" t="s">
        <v>85</v>
      </c>
      <c r="D54" s="35" t="s">
        <v>75</v>
      </c>
      <c r="E54" s="37" t="s">
        <v>86</v>
      </c>
      <c r="F54" s="36" t="s">
        <v>33</v>
      </c>
      <c r="G54" s="36" t="s">
        <v>25</v>
      </c>
      <c r="I54" s="125">
        <v>9.86</v>
      </c>
      <c r="J54" s="126"/>
      <c r="K54" s="127"/>
      <c r="L54" s="128">
        <f t="shared" si="17"/>
        <v>9.86</v>
      </c>
      <c r="M54" s="125"/>
      <c r="N54" s="126"/>
      <c r="O54" s="134"/>
      <c r="P54" s="128">
        <f t="shared" si="9"/>
        <v>0</v>
      </c>
      <c r="Q54" s="125">
        <v>2424.8000000000002</v>
      </c>
      <c r="R54" s="126">
        <v>175</v>
      </c>
      <c r="S54" s="134"/>
      <c r="T54" s="128">
        <f t="shared" si="10"/>
        <v>2599.8000000000002</v>
      </c>
      <c r="U54" s="125"/>
      <c r="V54" s="126"/>
      <c r="W54" s="134"/>
      <c r="X54" s="128">
        <f t="shared" si="11"/>
        <v>0</v>
      </c>
      <c r="Y54" s="125"/>
      <c r="Z54" s="126"/>
      <c r="AA54" s="134"/>
      <c r="AB54" s="129">
        <f t="shared" si="12"/>
        <v>0</v>
      </c>
      <c r="AC54" s="209">
        <f t="shared" si="16"/>
        <v>2599.8000000000002</v>
      </c>
      <c r="AD54" s="130"/>
      <c r="AE54" s="131"/>
      <c r="AF54" s="135"/>
      <c r="AG54" s="133">
        <f t="shared" si="13"/>
        <v>0</v>
      </c>
      <c r="AH54" s="130"/>
      <c r="AI54" s="131"/>
      <c r="AJ54" s="135"/>
      <c r="AK54" s="133">
        <f t="shared" si="14"/>
        <v>0</v>
      </c>
      <c r="AL54" s="133">
        <f t="shared" si="15"/>
        <v>0</v>
      </c>
      <c r="AM54" s="38"/>
    </row>
    <row r="55" spans="1:39" ht="15" customHeight="1" x14ac:dyDescent="0.25">
      <c r="A55" s="104" t="e">
        <f>+#REF!</f>
        <v>#REF!</v>
      </c>
      <c r="B55" s="103">
        <v>50</v>
      </c>
      <c r="C55" s="196" t="s">
        <v>87</v>
      </c>
      <c r="D55" s="35" t="s">
        <v>75</v>
      </c>
      <c r="E55" s="37" t="s">
        <v>241</v>
      </c>
      <c r="F55" s="36" t="s">
        <v>33</v>
      </c>
      <c r="G55" s="36" t="s">
        <v>25</v>
      </c>
      <c r="I55" s="125">
        <v>74.111999999999995</v>
      </c>
      <c r="J55" s="126"/>
      <c r="K55" s="127"/>
      <c r="L55" s="128">
        <f t="shared" si="17"/>
        <v>74.111999999999995</v>
      </c>
      <c r="M55" s="125">
        <v>2.6</v>
      </c>
      <c r="N55" s="126"/>
      <c r="O55" s="134">
        <v>10.4</v>
      </c>
      <c r="P55" s="128">
        <f t="shared" si="9"/>
        <v>13</v>
      </c>
      <c r="Q55" s="125"/>
      <c r="R55" s="126"/>
      <c r="S55" s="134"/>
      <c r="T55" s="128">
        <f t="shared" si="10"/>
        <v>0</v>
      </c>
      <c r="U55" s="125">
        <v>605</v>
      </c>
      <c r="V55" s="126"/>
      <c r="W55" s="134">
        <v>2420</v>
      </c>
      <c r="X55" s="128">
        <f t="shared" si="11"/>
        <v>3025</v>
      </c>
      <c r="Y55" s="125"/>
      <c r="Z55" s="126"/>
      <c r="AA55" s="134"/>
      <c r="AB55" s="129">
        <f t="shared" si="12"/>
        <v>0</v>
      </c>
      <c r="AC55" s="209">
        <f t="shared" si="16"/>
        <v>3038</v>
      </c>
      <c r="AD55" s="130"/>
      <c r="AE55" s="131"/>
      <c r="AF55" s="135"/>
      <c r="AG55" s="133">
        <f t="shared" si="13"/>
        <v>0</v>
      </c>
      <c r="AH55" s="130"/>
      <c r="AI55" s="131"/>
      <c r="AJ55" s="135"/>
      <c r="AK55" s="133">
        <f t="shared" si="14"/>
        <v>0</v>
      </c>
      <c r="AL55" s="133">
        <f t="shared" si="15"/>
        <v>0</v>
      </c>
      <c r="AM55" s="38"/>
    </row>
    <row r="56" spans="1:39" ht="15" customHeight="1" x14ac:dyDescent="0.25">
      <c r="A56" s="104" t="e">
        <f>+#REF!</f>
        <v>#REF!</v>
      </c>
      <c r="B56" s="103">
        <v>51</v>
      </c>
      <c r="C56" s="196" t="s">
        <v>264</v>
      </c>
      <c r="D56" s="35" t="s">
        <v>75</v>
      </c>
      <c r="E56" s="37" t="s">
        <v>88</v>
      </c>
      <c r="F56" s="36" t="s">
        <v>33</v>
      </c>
      <c r="G56" s="36" t="s">
        <v>25</v>
      </c>
      <c r="I56" s="125">
        <v>1674.442</v>
      </c>
      <c r="J56" s="126">
        <v>112</v>
      </c>
      <c r="K56" s="127">
        <v>6727.4880000000003</v>
      </c>
      <c r="L56" s="128">
        <f t="shared" si="17"/>
        <v>8513.93</v>
      </c>
      <c r="M56" s="125">
        <v>139.596</v>
      </c>
      <c r="N56" s="126"/>
      <c r="O56" s="134">
        <v>558.38499999999999</v>
      </c>
      <c r="P56" s="128">
        <f t="shared" si="9"/>
        <v>697.98099999999999</v>
      </c>
      <c r="Q56" s="125"/>
      <c r="R56" s="126"/>
      <c r="S56" s="134"/>
      <c r="T56" s="128">
        <f t="shared" si="10"/>
        <v>0</v>
      </c>
      <c r="U56" s="125"/>
      <c r="V56" s="126"/>
      <c r="W56" s="134"/>
      <c r="X56" s="128">
        <f t="shared" si="11"/>
        <v>0</v>
      </c>
      <c r="Y56" s="125"/>
      <c r="Z56" s="126"/>
      <c r="AA56" s="134"/>
      <c r="AB56" s="129">
        <f t="shared" si="12"/>
        <v>0</v>
      </c>
      <c r="AC56" s="209">
        <f t="shared" si="16"/>
        <v>697.98099999999999</v>
      </c>
      <c r="AD56" s="130"/>
      <c r="AE56" s="131"/>
      <c r="AF56" s="135"/>
      <c r="AG56" s="133">
        <f t="shared" si="13"/>
        <v>0</v>
      </c>
      <c r="AH56" s="130"/>
      <c r="AI56" s="131"/>
      <c r="AJ56" s="135"/>
      <c r="AK56" s="133">
        <f t="shared" si="14"/>
        <v>0</v>
      </c>
      <c r="AL56" s="133">
        <f t="shared" si="15"/>
        <v>0</v>
      </c>
      <c r="AM56" s="38"/>
    </row>
    <row r="57" spans="1:39" ht="15" customHeight="1" x14ac:dyDescent="0.25">
      <c r="A57" s="104" t="e">
        <f>+#REF!</f>
        <v>#REF!</v>
      </c>
      <c r="B57" s="103">
        <v>52</v>
      </c>
      <c r="C57" s="196" t="s">
        <v>89</v>
      </c>
      <c r="D57" s="35" t="s">
        <v>75</v>
      </c>
      <c r="E57" s="37" t="s">
        <v>191</v>
      </c>
      <c r="F57" s="36" t="s">
        <v>33</v>
      </c>
      <c r="G57" s="36" t="s">
        <v>25</v>
      </c>
      <c r="I57" s="125"/>
      <c r="J57" s="126"/>
      <c r="K57" s="127">
        <v>30</v>
      </c>
      <c r="L57" s="128">
        <f t="shared" si="17"/>
        <v>30</v>
      </c>
      <c r="M57" s="125"/>
      <c r="N57" s="126"/>
      <c r="O57" s="134">
        <v>42</v>
      </c>
      <c r="P57" s="128">
        <f t="shared" si="9"/>
        <v>42</v>
      </c>
      <c r="Q57" s="125">
        <v>129.6</v>
      </c>
      <c r="R57" s="126"/>
      <c r="S57" s="134">
        <v>518.4</v>
      </c>
      <c r="T57" s="128">
        <f t="shared" si="10"/>
        <v>648</v>
      </c>
      <c r="U57" s="125"/>
      <c r="V57" s="126"/>
      <c r="W57" s="134"/>
      <c r="X57" s="128">
        <f t="shared" si="11"/>
        <v>0</v>
      </c>
      <c r="Y57" s="125"/>
      <c r="Z57" s="126"/>
      <c r="AA57" s="134"/>
      <c r="AB57" s="129">
        <f t="shared" si="12"/>
        <v>0</v>
      </c>
      <c r="AC57" s="209">
        <f t="shared" si="16"/>
        <v>690</v>
      </c>
      <c r="AD57" s="130"/>
      <c r="AE57" s="131"/>
      <c r="AF57" s="135"/>
      <c r="AG57" s="133">
        <f t="shared" si="13"/>
        <v>0</v>
      </c>
      <c r="AH57" s="130"/>
      <c r="AI57" s="131"/>
      <c r="AJ57" s="135"/>
      <c r="AK57" s="133">
        <f t="shared" si="14"/>
        <v>0</v>
      </c>
      <c r="AL57" s="133">
        <f t="shared" si="15"/>
        <v>0</v>
      </c>
      <c r="AM57" s="38"/>
    </row>
    <row r="58" spans="1:39" ht="15" customHeight="1" x14ac:dyDescent="0.25">
      <c r="A58" s="104" t="e">
        <f>+#REF!</f>
        <v>#REF!</v>
      </c>
      <c r="B58" s="103">
        <v>53</v>
      </c>
      <c r="C58" s="196" t="s">
        <v>91</v>
      </c>
      <c r="D58" s="35" t="s">
        <v>75</v>
      </c>
      <c r="E58" s="37" t="s">
        <v>210</v>
      </c>
      <c r="F58" s="36" t="s">
        <v>33</v>
      </c>
      <c r="G58" s="36" t="s">
        <v>25</v>
      </c>
      <c r="I58" s="125"/>
      <c r="J58" s="126">
        <v>68</v>
      </c>
      <c r="K58" s="127">
        <v>272</v>
      </c>
      <c r="L58" s="128">
        <f t="shared" si="17"/>
        <v>340</v>
      </c>
      <c r="M58" s="125"/>
      <c r="N58" s="126">
        <v>72.968999999999994</v>
      </c>
      <c r="O58" s="134">
        <v>291.87400000000002</v>
      </c>
      <c r="P58" s="128">
        <f t="shared" si="9"/>
        <v>364.84300000000002</v>
      </c>
      <c r="Q58" s="125"/>
      <c r="R58" s="126">
        <v>358</v>
      </c>
      <c r="S58" s="134">
        <v>1432</v>
      </c>
      <c r="T58" s="128">
        <f t="shared" si="10"/>
        <v>1790</v>
      </c>
      <c r="U58" s="125"/>
      <c r="V58" s="126"/>
      <c r="W58" s="134"/>
      <c r="X58" s="128">
        <f t="shared" si="11"/>
        <v>0</v>
      </c>
      <c r="Y58" s="125"/>
      <c r="Z58" s="126"/>
      <c r="AA58" s="134"/>
      <c r="AB58" s="129">
        <f t="shared" si="12"/>
        <v>0</v>
      </c>
      <c r="AC58" s="209">
        <f>+AB58+X58+P58+T58</f>
        <v>2154.8429999999998</v>
      </c>
      <c r="AD58" s="130"/>
      <c r="AE58" s="131"/>
      <c r="AF58" s="135"/>
      <c r="AG58" s="133">
        <f t="shared" si="13"/>
        <v>0</v>
      </c>
      <c r="AH58" s="130"/>
      <c r="AI58" s="131"/>
      <c r="AJ58" s="135"/>
      <c r="AK58" s="133">
        <f t="shared" si="14"/>
        <v>0</v>
      </c>
      <c r="AL58" s="133">
        <f t="shared" si="15"/>
        <v>0</v>
      </c>
      <c r="AM58" s="38"/>
    </row>
    <row r="59" spans="1:39" ht="15" customHeight="1" x14ac:dyDescent="0.25">
      <c r="A59" s="104" t="e">
        <f>+#REF!</f>
        <v>#REF!</v>
      </c>
      <c r="B59" s="103">
        <v>54</v>
      </c>
      <c r="C59" s="196" t="s">
        <v>265</v>
      </c>
      <c r="D59" s="35" t="s">
        <v>75</v>
      </c>
      <c r="E59" s="37" t="s">
        <v>242</v>
      </c>
      <c r="F59" s="36" t="s">
        <v>33</v>
      </c>
      <c r="G59" s="36" t="s">
        <v>25</v>
      </c>
      <c r="I59" s="125">
        <v>2</v>
      </c>
      <c r="J59" s="126"/>
      <c r="K59" s="127">
        <v>8</v>
      </c>
      <c r="L59" s="128">
        <f t="shared" si="17"/>
        <v>10</v>
      </c>
      <c r="M59" s="125">
        <v>2</v>
      </c>
      <c r="N59" s="126"/>
      <c r="O59" s="134">
        <v>8</v>
      </c>
      <c r="P59" s="128">
        <f t="shared" si="9"/>
        <v>10</v>
      </c>
      <c r="Q59" s="125"/>
      <c r="R59" s="126"/>
      <c r="S59" s="134"/>
      <c r="T59" s="128">
        <f t="shared" si="10"/>
        <v>0</v>
      </c>
      <c r="U59" s="125">
        <v>206</v>
      </c>
      <c r="V59" s="126"/>
      <c r="W59" s="134">
        <v>824</v>
      </c>
      <c r="X59" s="128">
        <f t="shared" si="11"/>
        <v>1030</v>
      </c>
      <c r="Y59" s="125"/>
      <c r="Z59" s="126"/>
      <c r="AA59" s="134"/>
      <c r="AB59" s="129">
        <f t="shared" si="12"/>
        <v>0</v>
      </c>
      <c r="AC59" s="209">
        <f t="shared" si="16"/>
        <v>1040</v>
      </c>
      <c r="AD59" s="130"/>
      <c r="AE59" s="131"/>
      <c r="AF59" s="135"/>
      <c r="AG59" s="133">
        <f t="shared" si="13"/>
        <v>0</v>
      </c>
      <c r="AH59" s="130"/>
      <c r="AI59" s="131"/>
      <c r="AJ59" s="135"/>
      <c r="AK59" s="133">
        <f t="shared" si="14"/>
        <v>0</v>
      </c>
      <c r="AL59" s="133">
        <f t="shared" si="15"/>
        <v>0</v>
      </c>
      <c r="AM59" s="38"/>
    </row>
    <row r="60" spans="1:39" ht="15" customHeight="1" x14ac:dyDescent="0.25">
      <c r="A60" s="104" t="e">
        <f>+#REF!</f>
        <v>#REF!</v>
      </c>
      <c r="B60" s="103">
        <v>55</v>
      </c>
      <c r="C60" s="196" t="s">
        <v>94</v>
      </c>
      <c r="D60" s="35" t="s">
        <v>75</v>
      </c>
      <c r="E60" s="37" t="s">
        <v>90</v>
      </c>
      <c r="F60" s="36" t="s">
        <v>33</v>
      </c>
      <c r="G60" s="36" t="s">
        <v>25</v>
      </c>
      <c r="I60" s="125">
        <v>802.34900000000005</v>
      </c>
      <c r="J60" s="126"/>
      <c r="K60" s="127">
        <v>3209.3980000000001</v>
      </c>
      <c r="L60" s="128">
        <f t="shared" si="17"/>
        <v>4011.7470000000003</v>
      </c>
      <c r="M60" s="125"/>
      <c r="N60" s="126"/>
      <c r="O60" s="134"/>
      <c r="P60" s="128">
        <f t="shared" si="9"/>
        <v>0</v>
      </c>
      <c r="Q60" s="125"/>
      <c r="R60" s="126"/>
      <c r="S60" s="134"/>
      <c r="T60" s="128">
        <f t="shared" si="10"/>
        <v>0</v>
      </c>
      <c r="U60" s="125"/>
      <c r="V60" s="126"/>
      <c r="W60" s="134"/>
      <c r="X60" s="128">
        <f t="shared" si="11"/>
        <v>0</v>
      </c>
      <c r="Y60" s="125"/>
      <c r="Z60" s="126"/>
      <c r="AA60" s="134"/>
      <c r="AB60" s="129">
        <f t="shared" si="12"/>
        <v>0</v>
      </c>
      <c r="AC60" s="209">
        <f t="shared" si="16"/>
        <v>0</v>
      </c>
      <c r="AD60" s="130"/>
      <c r="AE60" s="131"/>
      <c r="AF60" s="135"/>
      <c r="AG60" s="133">
        <f t="shared" si="13"/>
        <v>0</v>
      </c>
      <c r="AH60" s="130"/>
      <c r="AI60" s="131"/>
      <c r="AJ60" s="135"/>
      <c r="AK60" s="133">
        <f t="shared" si="14"/>
        <v>0</v>
      </c>
      <c r="AL60" s="133">
        <f t="shared" si="15"/>
        <v>0</v>
      </c>
      <c r="AM60" s="38"/>
    </row>
    <row r="61" spans="1:39" ht="15" customHeight="1" x14ac:dyDescent="0.25">
      <c r="A61" s="104" t="e">
        <f>+#REF!</f>
        <v>#REF!</v>
      </c>
      <c r="B61" s="103">
        <v>56</v>
      </c>
      <c r="C61" s="196" t="s">
        <v>141</v>
      </c>
      <c r="D61" s="35" t="s">
        <v>75</v>
      </c>
      <c r="E61" s="37" t="s">
        <v>93</v>
      </c>
      <c r="F61" s="36" t="s">
        <v>33</v>
      </c>
      <c r="G61" s="36" t="s">
        <v>25</v>
      </c>
      <c r="I61" s="125">
        <v>17.760999999999999</v>
      </c>
      <c r="J61" s="126"/>
      <c r="K61" s="127">
        <v>2098.65</v>
      </c>
      <c r="L61" s="128">
        <f t="shared" si="17"/>
        <v>2116.4110000000001</v>
      </c>
      <c r="M61" s="125"/>
      <c r="N61" s="126"/>
      <c r="O61" s="134">
        <v>2420.5680000000002</v>
      </c>
      <c r="P61" s="128">
        <f t="shared" si="9"/>
        <v>2420.5680000000002</v>
      </c>
      <c r="Q61" s="125"/>
      <c r="R61" s="126"/>
      <c r="S61" s="134"/>
      <c r="T61" s="128">
        <f t="shared" si="10"/>
        <v>0</v>
      </c>
      <c r="U61" s="125"/>
      <c r="V61" s="126"/>
      <c r="W61" s="134"/>
      <c r="X61" s="128">
        <f t="shared" si="11"/>
        <v>0</v>
      </c>
      <c r="Y61" s="125"/>
      <c r="Z61" s="126"/>
      <c r="AA61" s="134"/>
      <c r="AB61" s="129">
        <f t="shared" si="12"/>
        <v>0</v>
      </c>
      <c r="AC61" s="209">
        <f t="shared" si="16"/>
        <v>2420.5680000000002</v>
      </c>
      <c r="AD61" s="130"/>
      <c r="AE61" s="131"/>
      <c r="AF61" s="135"/>
      <c r="AG61" s="133">
        <f t="shared" si="13"/>
        <v>0</v>
      </c>
      <c r="AH61" s="130"/>
      <c r="AI61" s="131"/>
      <c r="AJ61" s="135"/>
      <c r="AK61" s="133">
        <f t="shared" si="14"/>
        <v>0</v>
      </c>
      <c r="AL61" s="133">
        <f t="shared" si="15"/>
        <v>0</v>
      </c>
      <c r="AM61" s="38"/>
    </row>
    <row r="62" spans="1:39" ht="15" customHeight="1" x14ac:dyDescent="0.25">
      <c r="A62" s="104" t="e">
        <f>+#REF!</f>
        <v>#REF!</v>
      </c>
      <c r="B62" s="103">
        <v>57</v>
      </c>
      <c r="C62" s="196" t="s">
        <v>96</v>
      </c>
      <c r="D62" s="35" t="s">
        <v>75</v>
      </c>
      <c r="E62" s="37" t="s">
        <v>243</v>
      </c>
      <c r="F62" s="36" t="s">
        <v>33</v>
      </c>
      <c r="G62" s="36" t="s">
        <v>25</v>
      </c>
      <c r="I62" s="125">
        <v>36</v>
      </c>
      <c r="J62" s="126"/>
      <c r="K62" s="127">
        <v>144</v>
      </c>
      <c r="L62" s="128">
        <f t="shared" si="17"/>
        <v>180</v>
      </c>
      <c r="M62" s="125">
        <v>115</v>
      </c>
      <c r="N62" s="126"/>
      <c r="O62" s="134">
        <v>460</v>
      </c>
      <c r="P62" s="128">
        <f t="shared" si="9"/>
        <v>575</v>
      </c>
      <c r="Q62" s="125">
        <v>96</v>
      </c>
      <c r="R62" s="126"/>
      <c r="S62" s="134">
        <v>384</v>
      </c>
      <c r="T62" s="128">
        <f t="shared" si="10"/>
        <v>480</v>
      </c>
      <c r="U62" s="125"/>
      <c r="V62" s="126"/>
      <c r="W62" s="134"/>
      <c r="X62" s="128">
        <f t="shared" si="11"/>
        <v>0</v>
      </c>
      <c r="Y62" s="125">
        <v>1200</v>
      </c>
      <c r="Z62" s="126"/>
      <c r="AA62" s="134">
        <v>4800</v>
      </c>
      <c r="AB62" s="129">
        <f t="shared" si="12"/>
        <v>6000</v>
      </c>
      <c r="AC62" s="209">
        <f t="shared" si="16"/>
        <v>7055</v>
      </c>
      <c r="AD62" s="130">
        <v>1000</v>
      </c>
      <c r="AE62" s="131"/>
      <c r="AF62" s="135">
        <v>4000</v>
      </c>
      <c r="AG62" s="133">
        <f t="shared" si="13"/>
        <v>5000</v>
      </c>
      <c r="AH62" s="130"/>
      <c r="AI62" s="131"/>
      <c r="AJ62" s="135"/>
      <c r="AK62" s="133">
        <f t="shared" si="14"/>
        <v>0</v>
      </c>
      <c r="AL62" s="133">
        <f t="shared" si="15"/>
        <v>5000</v>
      </c>
      <c r="AM62" s="38"/>
    </row>
    <row r="63" spans="1:39" ht="15" customHeight="1" x14ac:dyDescent="0.25">
      <c r="A63" s="104" t="e">
        <f>+#REF!</f>
        <v>#REF!</v>
      </c>
      <c r="B63" s="103">
        <v>58</v>
      </c>
      <c r="C63" s="196" t="s">
        <v>292</v>
      </c>
      <c r="D63" s="35" t="s">
        <v>75</v>
      </c>
      <c r="E63" s="37" t="s">
        <v>95</v>
      </c>
      <c r="F63" s="36" t="s">
        <v>33</v>
      </c>
      <c r="G63" s="36" t="s">
        <v>25</v>
      </c>
      <c r="I63" s="125">
        <v>1.4970000000000001</v>
      </c>
      <c r="J63" s="126"/>
      <c r="K63" s="127">
        <v>1245.077</v>
      </c>
      <c r="L63" s="128">
        <f t="shared" si="17"/>
        <v>1246.5740000000001</v>
      </c>
      <c r="M63" s="125"/>
      <c r="N63" s="126"/>
      <c r="O63" s="134"/>
      <c r="P63" s="128">
        <f t="shared" si="9"/>
        <v>0</v>
      </c>
      <c r="Q63" s="125"/>
      <c r="R63" s="126"/>
      <c r="S63" s="134"/>
      <c r="T63" s="128">
        <f t="shared" si="10"/>
        <v>0</v>
      </c>
      <c r="U63" s="125"/>
      <c r="V63" s="126"/>
      <c r="W63" s="134"/>
      <c r="X63" s="128">
        <f t="shared" si="11"/>
        <v>0</v>
      </c>
      <c r="Y63" s="125"/>
      <c r="Z63" s="126"/>
      <c r="AA63" s="134"/>
      <c r="AB63" s="129">
        <f t="shared" si="12"/>
        <v>0</v>
      </c>
      <c r="AC63" s="209">
        <f t="shared" si="16"/>
        <v>0</v>
      </c>
      <c r="AD63" s="130"/>
      <c r="AE63" s="131"/>
      <c r="AF63" s="135"/>
      <c r="AG63" s="133">
        <f t="shared" si="13"/>
        <v>0</v>
      </c>
      <c r="AH63" s="130"/>
      <c r="AI63" s="131"/>
      <c r="AJ63" s="135"/>
      <c r="AK63" s="133">
        <f t="shared" si="14"/>
        <v>0</v>
      </c>
      <c r="AL63" s="133">
        <f t="shared" si="15"/>
        <v>0</v>
      </c>
      <c r="AM63" s="38"/>
    </row>
    <row r="64" spans="1:39" ht="15" customHeight="1" x14ac:dyDescent="0.25">
      <c r="A64" s="104" t="e">
        <f>+#REF!</f>
        <v>#REF!</v>
      </c>
      <c r="B64" s="103">
        <v>59</v>
      </c>
      <c r="C64" s="196" t="s">
        <v>128</v>
      </c>
      <c r="D64" s="35" t="s">
        <v>75</v>
      </c>
      <c r="E64" s="37" t="s">
        <v>244</v>
      </c>
      <c r="F64" s="36" t="s">
        <v>33</v>
      </c>
      <c r="G64" s="36" t="s">
        <v>25</v>
      </c>
      <c r="I64" s="125"/>
      <c r="J64" s="126"/>
      <c r="K64" s="127"/>
      <c r="L64" s="128">
        <f t="shared" si="17"/>
        <v>0</v>
      </c>
      <c r="M64" s="125">
        <v>400</v>
      </c>
      <c r="N64" s="126"/>
      <c r="O64" s="134">
        <v>1600</v>
      </c>
      <c r="P64" s="128">
        <f t="shared" si="9"/>
        <v>2000</v>
      </c>
      <c r="Q64" s="125">
        <v>420</v>
      </c>
      <c r="R64" s="126"/>
      <c r="S64" s="134">
        <v>1680</v>
      </c>
      <c r="T64" s="128">
        <f t="shared" si="10"/>
        <v>2100</v>
      </c>
      <c r="U64" s="125">
        <v>2000</v>
      </c>
      <c r="V64" s="126"/>
      <c r="W64" s="134">
        <v>8000</v>
      </c>
      <c r="X64" s="128">
        <f t="shared" si="11"/>
        <v>10000</v>
      </c>
      <c r="Y64" s="125">
        <v>2000</v>
      </c>
      <c r="Z64" s="126"/>
      <c r="AA64" s="134">
        <v>8000</v>
      </c>
      <c r="AB64" s="129">
        <f t="shared" si="12"/>
        <v>10000</v>
      </c>
      <c r="AC64" s="209">
        <f t="shared" si="16"/>
        <v>24100</v>
      </c>
      <c r="AD64" s="130">
        <v>2000</v>
      </c>
      <c r="AE64" s="131"/>
      <c r="AF64" s="135">
        <v>8000</v>
      </c>
      <c r="AG64" s="133">
        <f t="shared" si="13"/>
        <v>10000</v>
      </c>
      <c r="AH64" s="130"/>
      <c r="AI64" s="131"/>
      <c r="AJ64" s="135"/>
      <c r="AK64" s="133">
        <f t="shared" si="14"/>
        <v>0</v>
      </c>
      <c r="AL64" s="133">
        <f t="shared" si="15"/>
        <v>10000</v>
      </c>
      <c r="AM64" s="38"/>
    </row>
    <row r="65" spans="1:39" ht="15" customHeight="1" x14ac:dyDescent="0.25">
      <c r="A65" s="104" t="e">
        <f>+#REF!</f>
        <v>#REF!</v>
      </c>
      <c r="B65" s="103">
        <v>60</v>
      </c>
      <c r="C65" s="196" t="s">
        <v>293</v>
      </c>
      <c r="D65" s="35" t="s">
        <v>75</v>
      </c>
      <c r="E65" s="37" t="s">
        <v>245</v>
      </c>
      <c r="F65" s="36" t="s">
        <v>33</v>
      </c>
      <c r="G65" s="36" t="s">
        <v>25</v>
      </c>
      <c r="I65" s="125">
        <v>2</v>
      </c>
      <c r="J65" s="126"/>
      <c r="K65" s="127">
        <v>8</v>
      </c>
      <c r="L65" s="128">
        <f t="shared" si="17"/>
        <v>10</v>
      </c>
      <c r="M65" s="125">
        <v>6.6</v>
      </c>
      <c r="N65" s="126"/>
      <c r="O65" s="134">
        <v>26.4</v>
      </c>
      <c r="P65" s="128">
        <f t="shared" si="9"/>
        <v>33</v>
      </c>
      <c r="Q65" s="125">
        <v>216.77500000000001</v>
      </c>
      <c r="R65" s="126"/>
      <c r="S65" s="134">
        <v>867.1</v>
      </c>
      <c r="T65" s="128">
        <f t="shared" si="10"/>
        <v>1083.875</v>
      </c>
      <c r="U65" s="125"/>
      <c r="V65" s="126"/>
      <c r="W65" s="134"/>
      <c r="X65" s="128">
        <f t="shared" si="11"/>
        <v>0</v>
      </c>
      <c r="Y65" s="125"/>
      <c r="Z65" s="126"/>
      <c r="AA65" s="134"/>
      <c r="AB65" s="129">
        <f t="shared" si="12"/>
        <v>0</v>
      </c>
      <c r="AC65" s="209">
        <f t="shared" si="16"/>
        <v>1116.875</v>
      </c>
      <c r="AD65" s="130"/>
      <c r="AE65" s="131"/>
      <c r="AF65" s="135"/>
      <c r="AG65" s="133">
        <f t="shared" si="13"/>
        <v>0</v>
      </c>
      <c r="AH65" s="130"/>
      <c r="AI65" s="131"/>
      <c r="AJ65" s="135"/>
      <c r="AK65" s="133">
        <f t="shared" si="14"/>
        <v>0</v>
      </c>
      <c r="AL65" s="133">
        <f t="shared" si="15"/>
        <v>0</v>
      </c>
      <c r="AM65" s="38"/>
    </row>
    <row r="66" spans="1:39" ht="15" customHeight="1" x14ac:dyDescent="0.25">
      <c r="A66" s="104" t="e">
        <f>+#REF!</f>
        <v>#REF!</v>
      </c>
      <c r="B66" s="103">
        <v>61</v>
      </c>
      <c r="C66" s="196" t="s">
        <v>107</v>
      </c>
      <c r="D66" s="35" t="s">
        <v>75</v>
      </c>
      <c r="E66" s="37" t="s">
        <v>192</v>
      </c>
      <c r="F66" s="36" t="s">
        <v>33</v>
      </c>
      <c r="G66" s="36" t="s">
        <v>25</v>
      </c>
      <c r="I66" s="125">
        <v>4.423</v>
      </c>
      <c r="J66" s="126"/>
      <c r="K66" s="127">
        <v>2958.5509999999999</v>
      </c>
      <c r="L66" s="128">
        <f t="shared" si="17"/>
        <v>2962.9739999999997</v>
      </c>
      <c r="M66" s="125"/>
      <c r="N66" s="126"/>
      <c r="O66" s="134"/>
      <c r="P66" s="128">
        <f t="shared" si="9"/>
        <v>0</v>
      </c>
      <c r="Q66" s="125"/>
      <c r="R66" s="126"/>
      <c r="S66" s="134"/>
      <c r="T66" s="128">
        <f t="shared" si="10"/>
        <v>0</v>
      </c>
      <c r="U66" s="125"/>
      <c r="V66" s="126"/>
      <c r="W66" s="134"/>
      <c r="X66" s="128">
        <f t="shared" si="11"/>
        <v>0</v>
      </c>
      <c r="Y66" s="125"/>
      <c r="Z66" s="126"/>
      <c r="AA66" s="134"/>
      <c r="AB66" s="129">
        <f t="shared" si="12"/>
        <v>0</v>
      </c>
      <c r="AC66" s="209">
        <f t="shared" si="16"/>
        <v>0</v>
      </c>
      <c r="AD66" s="130"/>
      <c r="AE66" s="131"/>
      <c r="AF66" s="135"/>
      <c r="AG66" s="133">
        <f t="shared" si="13"/>
        <v>0</v>
      </c>
      <c r="AH66" s="130"/>
      <c r="AI66" s="131"/>
      <c r="AJ66" s="135"/>
      <c r="AK66" s="133">
        <f t="shared" si="14"/>
        <v>0</v>
      </c>
      <c r="AL66" s="133">
        <f t="shared" si="15"/>
        <v>0</v>
      </c>
      <c r="AM66" s="38"/>
    </row>
    <row r="67" spans="1:39" ht="15" customHeight="1" x14ac:dyDescent="0.25">
      <c r="A67" s="104" t="e">
        <f>+#REF!</f>
        <v>#REF!</v>
      </c>
      <c r="B67" s="103">
        <v>62</v>
      </c>
      <c r="C67" s="196" t="s">
        <v>92</v>
      </c>
      <c r="D67" s="35" t="s">
        <v>75</v>
      </c>
      <c r="E67" s="37" t="s">
        <v>223</v>
      </c>
      <c r="F67" s="36" t="s">
        <v>33</v>
      </c>
      <c r="G67" s="36" t="s">
        <v>25</v>
      </c>
      <c r="I67" s="125">
        <v>236.97499999999999</v>
      </c>
      <c r="J67" s="126"/>
      <c r="K67" s="127">
        <v>5006.299</v>
      </c>
      <c r="L67" s="128">
        <f t="shared" si="17"/>
        <v>5243.2740000000003</v>
      </c>
      <c r="M67" s="125">
        <v>248.44399999999999</v>
      </c>
      <c r="N67" s="126"/>
      <c r="O67" s="134">
        <v>5337.982</v>
      </c>
      <c r="P67" s="128">
        <f t="shared" si="9"/>
        <v>5586.4260000000004</v>
      </c>
      <c r="Q67" s="125">
        <v>110</v>
      </c>
      <c r="R67" s="126"/>
      <c r="S67" s="134">
        <v>440</v>
      </c>
      <c r="T67" s="128">
        <f t="shared" si="10"/>
        <v>550</v>
      </c>
      <c r="U67" s="125">
        <v>110</v>
      </c>
      <c r="V67" s="126"/>
      <c r="W67" s="134">
        <v>440</v>
      </c>
      <c r="X67" s="128">
        <f t="shared" si="11"/>
        <v>550</v>
      </c>
      <c r="Y67" s="125">
        <v>180</v>
      </c>
      <c r="Z67" s="126"/>
      <c r="AA67" s="134">
        <v>720</v>
      </c>
      <c r="AB67" s="129">
        <f t="shared" si="12"/>
        <v>900</v>
      </c>
      <c r="AC67" s="209">
        <f t="shared" si="16"/>
        <v>7586.4260000000004</v>
      </c>
      <c r="AD67" s="130"/>
      <c r="AE67" s="131"/>
      <c r="AF67" s="135"/>
      <c r="AG67" s="133">
        <f t="shared" si="13"/>
        <v>0</v>
      </c>
      <c r="AH67" s="130"/>
      <c r="AI67" s="131"/>
      <c r="AJ67" s="135"/>
      <c r="AK67" s="133">
        <f t="shared" si="14"/>
        <v>0</v>
      </c>
      <c r="AL67" s="133">
        <f t="shared" si="15"/>
        <v>0</v>
      </c>
      <c r="AM67" s="38"/>
    </row>
    <row r="68" spans="1:39" ht="15" customHeight="1" x14ac:dyDescent="0.25">
      <c r="A68" s="104" t="e">
        <f>+#REF!</f>
        <v>#REF!</v>
      </c>
      <c r="B68" s="103">
        <v>63</v>
      </c>
      <c r="C68" s="196" t="s">
        <v>132</v>
      </c>
      <c r="D68" s="35" t="s">
        <v>75</v>
      </c>
      <c r="E68" s="37" t="s">
        <v>238</v>
      </c>
      <c r="F68" s="36" t="s">
        <v>26</v>
      </c>
      <c r="G68" s="36" t="s">
        <v>36</v>
      </c>
      <c r="I68" s="125">
        <v>120</v>
      </c>
      <c r="J68" s="126"/>
      <c r="K68" s="127">
        <v>480</v>
      </c>
      <c r="L68" s="128">
        <f t="shared" si="17"/>
        <v>600</v>
      </c>
      <c r="M68" s="125">
        <v>200</v>
      </c>
      <c r="N68" s="126"/>
      <c r="O68" s="134">
        <v>800</v>
      </c>
      <c r="P68" s="128">
        <f t="shared" si="9"/>
        <v>1000</v>
      </c>
      <c r="Q68" s="125"/>
      <c r="R68" s="126"/>
      <c r="S68" s="134"/>
      <c r="T68" s="128">
        <f t="shared" si="10"/>
        <v>0</v>
      </c>
      <c r="U68" s="125"/>
      <c r="V68" s="126"/>
      <c r="W68" s="134"/>
      <c r="X68" s="128">
        <f t="shared" si="11"/>
        <v>0</v>
      </c>
      <c r="Y68" s="125"/>
      <c r="Z68" s="126"/>
      <c r="AA68" s="134"/>
      <c r="AB68" s="129">
        <f t="shared" si="12"/>
        <v>0</v>
      </c>
      <c r="AC68" s="209">
        <f t="shared" ref="AC68:AC101" si="18">+AB68+X68+P68+T68</f>
        <v>1000</v>
      </c>
      <c r="AD68" s="130"/>
      <c r="AE68" s="131"/>
      <c r="AF68" s="135"/>
      <c r="AG68" s="133">
        <f t="shared" ref="AG68:AG101" si="19">+AD68+AE68+AF68</f>
        <v>0</v>
      </c>
      <c r="AH68" s="130"/>
      <c r="AI68" s="131"/>
      <c r="AJ68" s="135"/>
      <c r="AK68" s="133">
        <f t="shared" ref="AK68:AK101" si="20">+AH68+AI68+AJ68</f>
        <v>0</v>
      </c>
      <c r="AL68" s="133">
        <f t="shared" ref="AL68:AL101" si="21">+AK68+AG68</f>
        <v>0</v>
      </c>
      <c r="AM68" s="38"/>
    </row>
    <row r="69" spans="1:39" ht="15" customHeight="1" x14ac:dyDescent="0.25">
      <c r="A69" s="104" t="e">
        <f>+#REF!</f>
        <v>#REF!</v>
      </c>
      <c r="B69" s="103">
        <v>64</v>
      </c>
      <c r="C69" s="196" t="s">
        <v>294</v>
      </c>
      <c r="D69" s="35" t="s">
        <v>75</v>
      </c>
      <c r="E69" s="37" t="s">
        <v>97</v>
      </c>
      <c r="F69" s="36" t="s">
        <v>26</v>
      </c>
      <c r="G69" s="36" t="s">
        <v>57</v>
      </c>
      <c r="I69" s="125"/>
      <c r="J69" s="126">
        <v>143.9</v>
      </c>
      <c r="K69" s="127">
        <v>753.3</v>
      </c>
      <c r="L69" s="128">
        <f t="shared" si="17"/>
        <v>897.19999999999993</v>
      </c>
      <c r="M69" s="125"/>
      <c r="N69" s="126"/>
      <c r="O69" s="134"/>
      <c r="P69" s="128">
        <f t="shared" si="9"/>
        <v>0</v>
      </c>
      <c r="Q69" s="125"/>
      <c r="R69" s="126"/>
      <c r="S69" s="134"/>
      <c r="T69" s="128">
        <f t="shared" si="10"/>
        <v>0</v>
      </c>
      <c r="U69" s="125"/>
      <c r="V69" s="126"/>
      <c r="W69" s="134"/>
      <c r="X69" s="128">
        <f t="shared" si="11"/>
        <v>0</v>
      </c>
      <c r="Y69" s="125"/>
      <c r="Z69" s="126"/>
      <c r="AA69" s="134"/>
      <c r="AB69" s="129">
        <f t="shared" si="12"/>
        <v>0</v>
      </c>
      <c r="AC69" s="209">
        <f t="shared" si="18"/>
        <v>0</v>
      </c>
      <c r="AD69" s="130"/>
      <c r="AE69" s="131"/>
      <c r="AF69" s="135"/>
      <c r="AG69" s="133">
        <f t="shared" si="19"/>
        <v>0</v>
      </c>
      <c r="AH69" s="130"/>
      <c r="AI69" s="131"/>
      <c r="AJ69" s="135"/>
      <c r="AK69" s="133">
        <f t="shared" si="20"/>
        <v>0</v>
      </c>
      <c r="AL69" s="133">
        <f t="shared" si="21"/>
        <v>0</v>
      </c>
      <c r="AM69" s="38"/>
    </row>
    <row r="70" spans="1:39" ht="15" customHeight="1" x14ac:dyDescent="0.25">
      <c r="A70" s="104" t="e">
        <f>+#REF!</f>
        <v>#REF!</v>
      </c>
      <c r="B70" s="103">
        <v>65</v>
      </c>
      <c r="C70" s="196" t="s">
        <v>139</v>
      </c>
      <c r="D70" s="35" t="s">
        <v>75</v>
      </c>
      <c r="E70" s="37" t="s">
        <v>224</v>
      </c>
      <c r="F70" s="36" t="s">
        <v>26</v>
      </c>
      <c r="G70" s="36" t="s">
        <v>25</v>
      </c>
      <c r="I70" s="125"/>
      <c r="J70" s="126"/>
      <c r="K70" s="127"/>
      <c r="L70" s="128">
        <f t="shared" si="17"/>
        <v>0</v>
      </c>
      <c r="M70" s="125"/>
      <c r="N70" s="126"/>
      <c r="O70" s="134"/>
      <c r="P70" s="128">
        <f t="shared" si="9"/>
        <v>0</v>
      </c>
      <c r="Q70" s="125"/>
      <c r="R70" s="126"/>
      <c r="S70" s="134"/>
      <c r="T70" s="128">
        <f t="shared" si="10"/>
        <v>0</v>
      </c>
      <c r="U70" s="125"/>
      <c r="V70" s="126"/>
      <c r="W70" s="134"/>
      <c r="X70" s="128">
        <f t="shared" si="11"/>
        <v>0</v>
      </c>
      <c r="Y70" s="125">
        <v>200</v>
      </c>
      <c r="Z70" s="126">
        <v>1500</v>
      </c>
      <c r="AA70" s="134"/>
      <c r="AB70" s="129">
        <f t="shared" si="12"/>
        <v>1700</v>
      </c>
      <c r="AC70" s="209">
        <f t="shared" si="18"/>
        <v>1700</v>
      </c>
      <c r="AD70" s="130">
        <v>200</v>
      </c>
      <c r="AE70" s="131"/>
      <c r="AF70" s="135"/>
      <c r="AG70" s="133">
        <f t="shared" si="19"/>
        <v>200</v>
      </c>
      <c r="AH70" s="130"/>
      <c r="AI70" s="131"/>
      <c r="AJ70" s="135"/>
      <c r="AK70" s="133">
        <f t="shared" si="20"/>
        <v>0</v>
      </c>
      <c r="AL70" s="133">
        <f t="shared" si="21"/>
        <v>200</v>
      </c>
      <c r="AM70" s="38"/>
    </row>
    <row r="71" spans="1:39" ht="15" customHeight="1" x14ac:dyDescent="0.25">
      <c r="A71" s="104" t="e">
        <f>+#REF!</f>
        <v>#REF!</v>
      </c>
      <c r="B71" s="103">
        <v>66</v>
      </c>
      <c r="C71" s="196" t="s">
        <v>155</v>
      </c>
      <c r="D71" s="35" t="s">
        <v>75</v>
      </c>
      <c r="E71" s="48" t="s">
        <v>195</v>
      </c>
      <c r="F71" s="36" t="s">
        <v>26</v>
      </c>
      <c r="G71" s="36" t="s">
        <v>38</v>
      </c>
      <c r="I71" s="125">
        <v>30</v>
      </c>
      <c r="J71" s="126"/>
      <c r="K71" s="127">
        <v>120</v>
      </c>
      <c r="L71" s="128">
        <f t="shared" ref="L71:L105" si="22">+I71+J71+K71</f>
        <v>150</v>
      </c>
      <c r="M71" s="125">
        <v>217.464</v>
      </c>
      <c r="N71" s="126"/>
      <c r="O71" s="134">
        <v>869.85699999999997</v>
      </c>
      <c r="P71" s="128">
        <f t="shared" si="9"/>
        <v>1087.3209999999999</v>
      </c>
      <c r="Q71" s="125">
        <v>200</v>
      </c>
      <c r="R71" s="126"/>
      <c r="S71" s="134">
        <v>800</v>
      </c>
      <c r="T71" s="128">
        <f t="shared" si="10"/>
        <v>1000</v>
      </c>
      <c r="U71" s="125">
        <v>250</v>
      </c>
      <c r="V71" s="126"/>
      <c r="W71" s="134">
        <v>1000</v>
      </c>
      <c r="X71" s="128">
        <f t="shared" si="11"/>
        <v>1250</v>
      </c>
      <c r="Y71" s="125">
        <v>250</v>
      </c>
      <c r="Z71" s="126"/>
      <c r="AA71" s="134">
        <v>1000</v>
      </c>
      <c r="AB71" s="129">
        <f t="shared" si="12"/>
        <v>1250</v>
      </c>
      <c r="AC71" s="209">
        <f t="shared" si="18"/>
        <v>4587.3209999999999</v>
      </c>
      <c r="AD71" s="130"/>
      <c r="AE71" s="131"/>
      <c r="AF71" s="135"/>
      <c r="AG71" s="133">
        <f t="shared" si="19"/>
        <v>0</v>
      </c>
      <c r="AH71" s="130"/>
      <c r="AI71" s="131"/>
      <c r="AJ71" s="135"/>
      <c r="AK71" s="133">
        <f t="shared" si="20"/>
        <v>0</v>
      </c>
      <c r="AL71" s="133">
        <f t="shared" si="21"/>
        <v>0</v>
      </c>
      <c r="AM71" s="38"/>
    </row>
    <row r="72" spans="1:39" ht="15" customHeight="1" x14ac:dyDescent="0.25">
      <c r="A72" s="104" t="e">
        <f>+#REF!</f>
        <v>#REF!</v>
      </c>
      <c r="B72" s="103">
        <v>67</v>
      </c>
      <c r="C72" s="196" t="s">
        <v>120</v>
      </c>
      <c r="D72" s="35" t="s">
        <v>75</v>
      </c>
      <c r="E72" s="48" t="s">
        <v>99</v>
      </c>
      <c r="F72" s="36" t="s">
        <v>26</v>
      </c>
      <c r="G72" s="36" t="s">
        <v>36</v>
      </c>
      <c r="I72" s="125">
        <v>69.953000000000003</v>
      </c>
      <c r="J72" s="126"/>
      <c r="K72" s="127">
        <v>8300</v>
      </c>
      <c r="L72" s="128">
        <f t="shared" si="22"/>
        <v>8369.9529999999995</v>
      </c>
      <c r="M72" s="125">
        <v>200</v>
      </c>
      <c r="N72" s="126"/>
      <c r="O72" s="134">
        <v>5900</v>
      </c>
      <c r="P72" s="128">
        <f t="shared" si="9"/>
        <v>6100</v>
      </c>
      <c r="Q72" s="125">
        <v>600</v>
      </c>
      <c r="R72" s="126"/>
      <c r="S72" s="134">
        <v>2400</v>
      </c>
      <c r="T72" s="128">
        <f t="shared" si="10"/>
        <v>3000</v>
      </c>
      <c r="U72" s="125">
        <v>3200</v>
      </c>
      <c r="V72" s="126"/>
      <c r="W72" s="134">
        <v>12800</v>
      </c>
      <c r="X72" s="128">
        <f t="shared" si="11"/>
        <v>16000</v>
      </c>
      <c r="Y72" s="125">
        <v>3180</v>
      </c>
      <c r="Z72" s="126"/>
      <c r="AA72" s="134">
        <v>12720</v>
      </c>
      <c r="AB72" s="129">
        <f t="shared" si="12"/>
        <v>15900</v>
      </c>
      <c r="AC72" s="209">
        <f t="shared" si="18"/>
        <v>41000</v>
      </c>
      <c r="AD72" s="130">
        <v>200</v>
      </c>
      <c r="AE72" s="131"/>
      <c r="AF72" s="135">
        <v>800</v>
      </c>
      <c r="AG72" s="133">
        <f t="shared" si="19"/>
        <v>1000</v>
      </c>
      <c r="AH72" s="130"/>
      <c r="AI72" s="131"/>
      <c r="AJ72" s="135"/>
      <c r="AK72" s="133">
        <f t="shared" si="20"/>
        <v>0</v>
      </c>
      <c r="AL72" s="133">
        <f t="shared" si="21"/>
        <v>1000</v>
      </c>
      <c r="AM72" s="38"/>
    </row>
    <row r="73" spans="1:39" ht="15" customHeight="1" x14ac:dyDescent="0.25">
      <c r="A73" s="104" t="e">
        <f>+#REF!</f>
        <v>#REF!</v>
      </c>
      <c r="B73" s="103">
        <v>68</v>
      </c>
      <c r="C73" s="196" t="s">
        <v>101</v>
      </c>
      <c r="D73" s="35" t="s">
        <v>75</v>
      </c>
      <c r="E73" s="48" t="s">
        <v>100</v>
      </c>
      <c r="F73" s="36" t="s">
        <v>26</v>
      </c>
      <c r="G73" s="36" t="s">
        <v>36</v>
      </c>
      <c r="I73" s="125">
        <v>50</v>
      </c>
      <c r="J73" s="126"/>
      <c r="K73" s="127"/>
      <c r="L73" s="128">
        <f t="shared" si="22"/>
        <v>50</v>
      </c>
      <c r="M73" s="125"/>
      <c r="N73" s="126"/>
      <c r="O73" s="134"/>
      <c r="P73" s="128">
        <f t="shared" si="9"/>
        <v>0</v>
      </c>
      <c r="Q73" s="125"/>
      <c r="R73" s="126"/>
      <c r="S73" s="134"/>
      <c r="T73" s="128">
        <f t="shared" si="10"/>
        <v>0</v>
      </c>
      <c r="U73" s="125"/>
      <c r="V73" s="126"/>
      <c r="W73" s="134"/>
      <c r="X73" s="128">
        <f t="shared" si="11"/>
        <v>0</v>
      </c>
      <c r="Y73" s="125"/>
      <c r="Z73" s="126"/>
      <c r="AA73" s="134"/>
      <c r="AB73" s="129">
        <f t="shared" si="12"/>
        <v>0</v>
      </c>
      <c r="AC73" s="209">
        <f t="shared" si="18"/>
        <v>0</v>
      </c>
      <c r="AD73" s="130"/>
      <c r="AE73" s="131"/>
      <c r="AF73" s="135"/>
      <c r="AG73" s="133">
        <f t="shared" si="19"/>
        <v>0</v>
      </c>
      <c r="AH73" s="130"/>
      <c r="AI73" s="131"/>
      <c r="AJ73" s="135"/>
      <c r="AK73" s="133">
        <f t="shared" si="20"/>
        <v>0</v>
      </c>
      <c r="AL73" s="133">
        <f t="shared" si="21"/>
        <v>0</v>
      </c>
      <c r="AM73" s="38"/>
    </row>
    <row r="74" spans="1:39" ht="15" customHeight="1" x14ac:dyDescent="0.25">
      <c r="A74" s="104" t="e">
        <f>+#REF!</f>
        <v>#REF!</v>
      </c>
      <c r="B74" s="103">
        <v>69</v>
      </c>
      <c r="C74" s="196" t="s">
        <v>298</v>
      </c>
      <c r="D74" s="35" t="s">
        <v>75</v>
      </c>
      <c r="E74" s="48" t="s">
        <v>187</v>
      </c>
      <c r="F74" s="36" t="s">
        <v>26</v>
      </c>
      <c r="G74" s="36" t="s">
        <v>36</v>
      </c>
      <c r="I74" s="125"/>
      <c r="J74" s="126"/>
      <c r="K74" s="127">
        <v>100</v>
      </c>
      <c r="L74" s="128">
        <f t="shared" si="22"/>
        <v>100</v>
      </c>
      <c r="M74" s="125"/>
      <c r="N74" s="126"/>
      <c r="O74" s="134">
        <v>160</v>
      </c>
      <c r="P74" s="128">
        <f t="shared" si="9"/>
        <v>160</v>
      </c>
      <c r="Q74" s="125">
        <v>20</v>
      </c>
      <c r="R74" s="126"/>
      <c r="S74" s="134">
        <v>80</v>
      </c>
      <c r="T74" s="128">
        <f t="shared" si="10"/>
        <v>100</v>
      </c>
      <c r="U74" s="125"/>
      <c r="V74" s="126"/>
      <c r="W74" s="134"/>
      <c r="X74" s="128">
        <f t="shared" si="11"/>
        <v>0</v>
      </c>
      <c r="Y74" s="125">
        <v>100</v>
      </c>
      <c r="Z74" s="126"/>
      <c r="AA74" s="134">
        <v>400</v>
      </c>
      <c r="AB74" s="129">
        <f t="shared" si="12"/>
        <v>500</v>
      </c>
      <c r="AC74" s="209">
        <f t="shared" si="18"/>
        <v>760</v>
      </c>
      <c r="AD74" s="130">
        <v>50</v>
      </c>
      <c r="AE74" s="131"/>
      <c r="AF74" s="135">
        <v>200</v>
      </c>
      <c r="AG74" s="133">
        <f t="shared" si="19"/>
        <v>250</v>
      </c>
      <c r="AH74" s="130"/>
      <c r="AI74" s="131"/>
      <c r="AJ74" s="135"/>
      <c r="AK74" s="133">
        <f t="shared" si="20"/>
        <v>0</v>
      </c>
      <c r="AL74" s="133">
        <f t="shared" si="21"/>
        <v>250</v>
      </c>
      <c r="AM74" s="38"/>
    </row>
    <row r="75" spans="1:39" ht="15" customHeight="1" x14ac:dyDescent="0.25">
      <c r="A75" s="104"/>
      <c r="B75" s="103">
        <v>70</v>
      </c>
      <c r="C75" s="196" t="s">
        <v>108</v>
      </c>
      <c r="D75" s="35" t="s">
        <v>75</v>
      </c>
      <c r="E75" s="50" t="s">
        <v>290</v>
      </c>
      <c r="F75" s="36" t="s">
        <v>26</v>
      </c>
      <c r="G75" s="36" t="s">
        <v>57</v>
      </c>
      <c r="I75" s="125"/>
      <c r="J75" s="126"/>
      <c r="K75" s="127"/>
      <c r="L75" s="128">
        <f t="shared" si="22"/>
        <v>0</v>
      </c>
      <c r="M75" s="125"/>
      <c r="N75" s="126"/>
      <c r="O75" s="134"/>
      <c r="P75" s="128">
        <f t="shared" si="9"/>
        <v>0</v>
      </c>
      <c r="Q75" s="125">
        <v>80</v>
      </c>
      <c r="R75" s="126"/>
      <c r="S75" s="134">
        <v>320</v>
      </c>
      <c r="T75" s="128">
        <f t="shared" si="10"/>
        <v>400</v>
      </c>
      <c r="U75" s="125">
        <v>204</v>
      </c>
      <c r="V75" s="126"/>
      <c r="W75" s="134">
        <v>816</v>
      </c>
      <c r="X75" s="128">
        <f t="shared" si="11"/>
        <v>1020</v>
      </c>
      <c r="Y75" s="125">
        <v>200</v>
      </c>
      <c r="Z75" s="126"/>
      <c r="AA75" s="134">
        <v>800</v>
      </c>
      <c r="AB75" s="129">
        <f t="shared" si="12"/>
        <v>1000</v>
      </c>
      <c r="AC75" s="209">
        <f t="shared" si="18"/>
        <v>2420</v>
      </c>
      <c r="AD75" s="130"/>
      <c r="AE75" s="131"/>
      <c r="AF75" s="135"/>
      <c r="AG75" s="133"/>
      <c r="AH75" s="130"/>
      <c r="AI75" s="131"/>
      <c r="AJ75" s="135"/>
      <c r="AK75" s="133"/>
      <c r="AL75" s="133"/>
      <c r="AM75" s="38"/>
    </row>
    <row r="76" spans="1:39" ht="15" customHeight="1" x14ac:dyDescent="0.25">
      <c r="A76" s="104" t="e">
        <f>+#REF!</f>
        <v>#REF!</v>
      </c>
      <c r="B76" s="103">
        <v>71</v>
      </c>
      <c r="C76" s="196" t="s">
        <v>110</v>
      </c>
      <c r="D76" s="35" t="s">
        <v>75</v>
      </c>
      <c r="E76" s="48" t="s">
        <v>102</v>
      </c>
      <c r="F76" s="36" t="s">
        <v>26</v>
      </c>
      <c r="G76" s="36" t="s">
        <v>38</v>
      </c>
      <c r="I76" s="125">
        <v>86.897000000000006</v>
      </c>
      <c r="J76" s="126"/>
      <c r="K76" s="127"/>
      <c r="L76" s="128">
        <f t="shared" si="22"/>
        <v>86.897000000000006</v>
      </c>
      <c r="M76" s="125">
        <v>40</v>
      </c>
      <c r="N76" s="126"/>
      <c r="O76" s="134">
        <v>160</v>
      </c>
      <c r="P76" s="128">
        <f t="shared" si="9"/>
        <v>200</v>
      </c>
      <c r="Q76" s="125">
        <v>160</v>
      </c>
      <c r="R76" s="126"/>
      <c r="S76" s="134">
        <v>640</v>
      </c>
      <c r="T76" s="128">
        <f t="shared" si="10"/>
        <v>800</v>
      </c>
      <c r="U76" s="125">
        <v>160</v>
      </c>
      <c r="V76" s="126"/>
      <c r="W76" s="134">
        <v>640</v>
      </c>
      <c r="X76" s="128">
        <f t="shared" si="11"/>
        <v>800</v>
      </c>
      <c r="Y76" s="125">
        <v>200</v>
      </c>
      <c r="Z76" s="126"/>
      <c r="AA76" s="134">
        <v>800</v>
      </c>
      <c r="AB76" s="129">
        <f t="shared" si="12"/>
        <v>1000</v>
      </c>
      <c r="AC76" s="209">
        <f t="shared" si="18"/>
        <v>2800</v>
      </c>
      <c r="AD76" s="130">
        <v>1000</v>
      </c>
      <c r="AE76" s="131"/>
      <c r="AF76" s="135">
        <v>4000</v>
      </c>
      <c r="AG76" s="133">
        <f t="shared" si="19"/>
        <v>5000</v>
      </c>
      <c r="AH76" s="130">
        <v>1600</v>
      </c>
      <c r="AI76" s="131"/>
      <c r="AJ76" s="135">
        <v>6400</v>
      </c>
      <c r="AK76" s="133">
        <f t="shared" si="20"/>
        <v>8000</v>
      </c>
      <c r="AL76" s="133">
        <f t="shared" si="21"/>
        <v>13000</v>
      </c>
      <c r="AM76" s="38"/>
    </row>
    <row r="77" spans="1:39" ht="15" customHeight="1" x14ac:dyDescent="0.25">
      <c r="A77" s="104" t="e">
        <f>+#REF!</f>
        <v>#REF!</v>
      </c>
      <c r="B77" s="103">
        <v>72</v>
      </c>
      <c r="C77" s="196" t="s">
        <v>134</v>
      </c>
      <c r="D77" s="35" t="s">
        <v>75</v>
      </c>
      <c r="E77" s="48" t="s">
        <v>198</v>
      </c>
      <c r="F77" s="36" t="s">
        <v>26</v>
      </c>
      <c r="G77" s="36" t="s">
        <v>38</v>
      </c>
      <c r="I77" s="125">
        <v>132</v>
      </c>
      <c r="J77" s="126"/>
      <c r="K77" s="127">
        <v>528</v>
      </c>
      <c r="L77" s="128">
        <f t="shared" si="22"/>
        <v>660</v>
      </c>
      <c r="M77" s="125"/>
      <c r="N77" s="126"/>
      <c r="O77" s="134"/>
      <c r="P77" s="128">
        <f t="shared" si="9"/>
        <v>0</v>
      </c>
      <c r="Q77" s="125"/>
      <c r="R77" s="126"/>
      <c r="S77" s="134"/>
      <c r="T77" s="128">
        <f t="shared" si="10"/>
        <v>0</v>
      </c>
      <c r="U77" s="125"/>
      <c r="V77" s="126"/>
      <c r="W77" s="134"/>
      <c r="X77" s="128">
        <f t="shared" si="11"/>
        <v>0</v>
      </c>
      <c r="Y77" s="125"/>
      <c r="Z77" s="126"/>
      <c r="AA77" s="134"/>
      <c r="AB77" s="129">
        <f t="shared" si="12"/>
        <v>0</v>
      </c>
      <c r="AC77" s="209">
        <f t="shared" si="18"/>
        <v>0</v>
      </c>
      <c r="AD77" s="130"/>
      <c r="AE77" s="131"/>
      <c r="AF77" s="135"/>
      <c r="AG77" s="133">
        <f t="shared" si="19"/>
        <v>0</v>
      </c>
      <c r="AH77" s="130"/>
      <c r="AI77" s="131"/>
      <c r="AJ77" s="135"/>
      <c r="AK77" s="133">
        <f t="shared" si="20"/>
        <v>0</v>
      </c>
      <c r="AL77" s="133">
        <f t="shared" si="21"/>
        <v>0</v>
      </c>
      <c r="AM77" s="38"/>
    </row>
    <row r="78" spans="1:39" ht="15" customHeight="1" x14ac:dyDescent="0.25">
      <c r="A78" s="104" t="e">
        <f>+#REF!</f>
        <v>#REF!</v>
      </c>
      <c r="B78" s="103">
        <v>73</v>
      </c>
      <c r="C78" s="196" t="s">
        <v>149</v>
      </c>
      <c r="D78" s="35" t="s">
        <v>75</v>
      </c>
      <c r="E78" s="48" t="s">
        <v>105</v>
      </c>
      <c r="F78" s="36" t="s">
        <v>26</v>
      </c>
      <c r="G78" s="36" t="s">
        <v>36</v>
      </c>
      <c r="I78" s="125"/>
      <c r="J78" s="126">
        <v>6.2439999999999998</v>
      </c>
      <c r="K78" s="127">
        <v>50</v>
      </c>
      <c r="L78" s="128">
        <f t="shared" si="22"/>
        <v>56.244</v>
      </c>
      <c r="M78" s="125"/>
      <c r="N78" s="126"/>
      <c r="O78" s="134"/>
      <c r="P78" s="128">
        <f t="shared" si="9"/>
        <v>0</v>
      </c>
      <c r="Q78" s="125"/>
      <c r="R78" s="126"/>
      <c r="S78" s="134"/>
      <c r="T78" s="128">
        <f t="shared" si="10"/>
        <v>0</v>
      </c>
      <c r="U78" s="125"/>
      <c r="V78" s="126"/>
      <c r="W78" s="134"/>
      <c r="X78" s="128">
        <f t="shared" si="11"/>
        <v>0</v>
      </c>
      <c r="Y78" s="125"/>
      <c r="Z78" s="126"/>
      <c r="AA78" s="134"/>
      <c r="AB78" s="129">
        <f t="shared" si="12"/>
        <v>0</v>
      </c>
      <c r="AC78" s="209">
        <f t="shared" si="18"/>
        <v>0</v>
      </c>
      <c r="AD78" s="130"/>
      <c r="AE78" s="131"/>
      <c r="AF78" s="135"/>
      <c r="AG78" s="133">
        <f t="shared" si="19"/>
        <v>0</v>
      </c>
      <c r="AH78" s="130"/>
      <c r="AI78" s="131"/>
      <c r="AJ78" s="135"/>
      <c r="AK78" s="133">
        <f t="shared" si="20"/>
        <v>0</v>
      </c>
      <c r="AL78" s="133">
        <f t="shared" si="21"/>
        <v>0</v>
      </c>
      <c r="AM78" s="38"/>
    </row>
    <row r="79" spans="1:39" ht="15" customHeight="1" x14ac:dyDescent="0.25">
      <c r="A79" s="104"/>
      <c r="B79" s="103">
        <v>74</v>
      </c>
      <c r="C79" s="196" t="s">
        <v>149</v>
      </c>
      <c r="D79" s="35" t="s">
        <v>75</v>
      </c>
      <c r="E79" s="48" t="s">
        <v>284</v>
      </c>
      <c r="F79" s="36" t="s">
        <v>39</v>
      </c>
      <c r="G79" s="36" t="s">
        <v>36</v>
      </c>
      <c r="I79" s="125"/>
      <c r="J79" s="126"/>
      <c r="K79" s="127"/>
      <c r="L79" s="128">
        <f t="shared" si="22"/>
        <v>0</v>
      </c>
      <c r="M79" s="125"/>
      <c r="N79" s="126"/>
      <c r="O79" s="134">
        <v>250</v>
      </c>
      <c r="P79" s="128">
        <f t="shared" si="9"/>
        <v>250</v>
      </c>
      <c r="Q79" s="125"/>
      <c r="R79" s="126"/>
      <c r="S79" s="134">
        <v>250</v>
      </c>
      <c r="T79" s="128">
        <f t="shared" si="10"/>
        <v>250</v>
      </c>
      <c r="U79" s="125">
        <v>100</v>
      </c>
      <c r="V79" s="126"/>
      <c r="W79" s="134">
        <v>400</v>
      </c>
      <c r="X79" s="128">
        <f t="shared" si="11"/>
        <v>500</v>
      </c>
      <c r="Y79" s="125">
        <v>100</v>
      </c>
      <c r="Z79" s="126"/>
      <c r="AA79" s="134">
        <v>400</v>
      </c>
      <c r="AB79" s="129">
        <f t="shared" si="12"/>
        <v>500</v>
      </c>
      <c r="AC79" s="209">
        <f t="shared" si="18"/>
        <v>1500</v>
      </c>
      <c r="AD79" s="130">
        <v>1200</v>
      </c>
      <c r="AE79" s="131"/>
      <c r="AF79" s="135">
        <v>4800</v>
      </c>
      <c r="AG79" s="133">
        <f t="shared" si="19"/>
        <v>6000</v>
      </c>
      <c r="AH79" s="130">
        <v>2800</v>
      </c>
      <c r="AI79" s="131"/>
      <c r="AJ79" s="135">
        <v>11200</v>
      </c>
      <c r="AK79" s="133">
        <f t="shared" si="20"/>
        <v>14000</v>
      </c>
      <c r="AL79" s="133">
        <f t="shared" si="21"/>
        <v>20000</v>
      </c>
      <c r="AM79" s="38"/>
    </row>
    <row r="80" spans="1:39" ht="15" customHeight="1" x14ac:dyDescent="0.25">
      <c r="A80" s="104" t="e">
        <f>+#REF!</f>
        <v>#REF!</v>
      </c>
      <c r="B80" s="103">
        <v>75</v>
      </c>
      <c r="C80" s="196" t="s">
        <v>301</v>
      </c>
      <c r="D80" s="35" t="s">
        <v>75</v>
      </c>
      <c r="E80" s="48" t="s">
        <v>106</v>
      </c>
      <c r="F80" s="36" t="s">
        <v>26</v>
      </c>
      <c r="G80" s="36" t="s">
        <v>38</v>
      </c>
      <c r="I80" s="125">
        <v>115.102</v>
      </c>
      <c r="J80" s="126"/>
      <c r="K80" s="127">
        <v>460.40699999999998</v>
      </c>
      <c r="L80" s="128">
        <f t="shared" si="22"/>
        <v>575.50900000000001</v>
      </c>
      <c r="M80" s="125"/>
      <c r="N80" s="126"/>
      <c r="O80" s="134"/>
      <c r="P80" s="128">
        <f t="shared" si="9"/>
        <v>0</v>
      </c>
      <c r="Q80" s="125"/>
      <c r="R80" s="126"/>
      <c r="S80" s="134"/>
      <c r="T80" s="128">
        <f t="shared" si="10"/>
        <v>0</v>
      </c>
      <c r="U80" s="125"/>
      <c r="V80" s="126"/>
      <c r="W80" s="134"/>
      <c r="X80" s="128">
        <f t="shared" si="11"/>
        <v>0</v>
      </c>
      <c r="Y80" s="125"/>
      <c r="Z80" s="126"/>
      <c r="AA80" s="134"/>
      <c r="AB80" s="129">
        <f t="shared" si="12"/>
        <v>0</v>
      </c>
      <c r="AC80" s="209">
        <f t="shared" si="18"/>
        <v>0</v>
      </c>
      <c r="AD80" s="130"/>
      <c r="AE80" s="131"/>
      <c r="AF80" s="135"/>
      <c r="AG80" s="133">
        <f t="shared" si="19"/>
        <v>0</v>
      </c>
      <c r="AH80" s="130"/>
      <c r="AI80" s="131"/>
      <c r="AJ80" s="135"/>
      <c r="AK80" s="133">
        <f t="shared" si="20"/>
        <v>0</v>
      </c>
      <c r="AL80" s="133">
        <f t="shared" si="21"/>
        <v>0</v>
      </c>
      <c r="AM80" s="38"/>
    </row>
    <row r="81" spans="1:39" ht="15" customHeight="1" x14ac:dyDescent="0.25">
      <c r="A81" s="104" t="e">
        <f>+#REF!</f>
        <v>#REF!</v>
      </c>
      <c r="B81" s="103">
        <v>76</v>
      </c>
      <c r="C81" s="196" t="s">
        <v>301</v>
      </c>
      <c r="D81" s="35" t="s">
        <v>75</v>
      </c>
      <c r="E81" s="48" t="s">
        <v>197</v>
      </c>
      <c r="F81" s="36" t="s">
        <v>26</v>
      </c>
      <c r="G81" s="36" t="s">
        <v>38</v>
      </c>
      <c r="I81" s="125"/>
      <c r="J81" s="126"/>
      <c r="K81" s="127"/>
      <c r="L81" s="128">
        <f t="shared" si="22"/>
        <v>0</v>
      </c>
      <c r="M81" s="125"/>
      <c r="N81" s="126"/>
      <c r="O81" s="134"/>
      <c r="P81" s="128">
        <f t="shared" si="9"/>
        <v>0</v>
      </c>
      <c r="Q81" s="125"/>
      <c r="R81" s="126"/>
      <c r="S81" s="134"/>
      <c r="T81" s="128">
        <f t="shared" si="10"/>
        <v>0</v>
      </c>
      <c r="U81" s="125"/>
      <c r="V81" s="126"/>
      <c r="W81" s="134"/>
      <c r="X81" s="128">
        <f t="shared" si="11"/>
        <v>0</v>
      </c>
      <c r="Y81" s="125">
        <v>652</v>
      </c>
      <c r="Z81" s="126"/>
      <c r="AA81" s="134"/>
      <c r="AB81" s="129">
        <f t="shared" si="12"/>
        <v>652</v>
      </c>
      <c r="AC81" s="209">
        <f t="shared" si="18"/>
        <v>652</v>
      </c>
      <c r="AD81" s="130">
        <v>600</v>
      </c>
      <c r="AE81" s="131"/>
      <c r="AF81" s="135"/>
      <c r="AG81" s="133">
        <f t="shared" si="19"/>
        <v>600</v>
      </c>
      <c r="AH81" s="130">
        <v>6000</v>
      </c>
      <c r="AI81" s="131"/>
      <c r="AJ81" s="135"/>
      <c r="AK81" s="133">
        <f t="shared" si="20"/>
        <v>6000</v>
      </c>
      <c r="AL81" s="133">
        <f t="shared" si="21"/>
        <v>6600</v>
      </c>
      <c r="AM81" s="38"/>
    </row>
    <row r="82" spans="1:39" ht="15" customHeight="1" x14ac:dyDescent="0.25">
      <c r="A82" s="104" t="e">
        <f>+#REF!</f>
        <v>#REF!</v>
      </c>
      <c r="B82" s="103">
        <v>77</v>
      </c>
      <c r="C82" s="196" t="s">
        <v>124</v>
      </c>
      <c r="D82" s="35" t="s">
        <v>75</v>
      </c>
      <c r="E82" s="48" t="s">
        <v>193</v>
      </c>
      <c r="F82" s="36" t="s">
        <v>26</v>
      </c>
      <c r="G82" s="36" t="s">
        <v>36</v>
      </c>
      <c r="I82" s="125">
        <v>120.2</v>
      </c>
      <c r="J82" s="126"/>
      <c r="K82" s="127">
        <v>480.9</v>
      </c>
      <c r="L82" s="128">
        <f t="shared" si="22"/>
        <v>601.1</v>
      </c>
      <c r="M82" s="125"/>
      <c r="N82" s="126"/>
      <c r="O82" s="134"/>
      <c r="P82" s="128">
        <f t="shared" si="9"/>
        <v>0</v>
      </c>
      <c r="Q82" s="125"/>
      <c r="R82" s="126"/>
      <c r="S82" s="134"/>
      <c r="T82" s="128">
        <f t="shared" si="10"/>
        <v>0</v>
      </c>
      <c r="U82" s="125"/>
      <c r="V82" s="126"/>
      <c r="W82" s="134"/>
      <c r="X82" s="128">
        <f t="shared" si="11"/>
        <v>0</v>
      </c>
      <c r="Y82" s="125">
        <v>300</v>
      </c>
      <c r="Z82" s="126"/>
      <c r="AA82" s="134"/>
      <c r="AB82" s="129">
        <f t="shared" si="12"/>
        <v>300</v>
      </c>
      <c r="AC82" s="209">
        <f t="shared" si="18"/>
        <v>300</v>
      </c>
      <c r="AD82" s="130"/>
      <c r="AE82" s="131"/>
      <c r="AF82" s="135"/>
      <c r="AG82" s="133">
        <f t="shared" si="19"/>
        <v>0</v>
      </c>
      <c r="AH82" s="130">
        <v>500</v>
      </c>
      <c r="AI82" s="131"/>
      <c r="AJ82" s="135"/>
      <c r="AK82" s="133">
        <f t="shared" si="20"/>
        <v>500</v>
      </c>
      <c r="AL82" s="133">
        <f t="shared" si="21"/>
        <v>500</v>
      </c>
      <c r="AM82" s="38"/>
    </row>
    <row r="83" spans="1:39" ht="15" customHeight="1" x14ac:dyDescent="0.25">
      <c r="A83" s="104" t="e">
        <f>+#REF!</f>
        <v>#REF!</v>
      </c>
      <c r="B83" s="103">
        <v>78</v>
      </c>
      <c r="C83" s="196" t="s">
        <v>115</v>
      </c>
      <c r="D83" s="35" t="s">
        <v>75</v>
      </c>
      <c r="E83" s="48" t="s">
        <v>184</v>
      </c>
      <c r="F83" s="36" t="s">
        <v>33</v>
      </c>
      <c r="G83" s="36" t="s">
        <v>29</v>
      </c>
      <c r="I83" s="125"/>
      <c r="J83" s="126">
        <v>75.763000000000005</v>
      </c>
      <c r="K83" s="127">
        <v>132.55699999999999</v>
      </c>
      <c r="L83" s="128">
        <f t="shared" si="22"/>
        <v>208.32</v>
      </c>
      <c r="M83" s="125"/>
      <c r="N83" s="126"/>
      <c r="O83" s="134"/>
      <c r="P83" s="128">
        <f t="shared" si="9"/>
        <v>0</v>
      </c>
      <c r="Q83" s="125"/>
      <c r="R83" s="126"/>
      <c r="S83" s="134"/>
      <c r="T83" s="128">
        <f t="shared" si="10"/>
        <v>0</v>
      </c>
      <c r="U83" s="125"/>
      <c r="V83" s="126"/>
      <c r="W83" s="134"/>
      <c r="X83" s="128">
        <f t="shared" si="11"/>
        <v>0</v>
      </c>
      <c r="Y83" s="125"/>
      <c r="Z83" s="126"/>
      <c r="AA83" s="134"/>
      <c r="AB83" s="129">
        <f t="shared" si="12"/>
        <v>0</v>
      </c>
      <c r="AC83" s="209">
        <f t="shared" si="18"/>
        <v>0</v>
      </c>
      <c r="AD83" s="130"/>
      <c r="AE83" s="131"/>
      <c r="AF83" s="135"/>
      <c r="AG83" s="133">
        <f t="shared" si="19"/>
        <v>0</v>
      </c>
      <c r="AH83" s="130"/>
      <c r="AI83" s="131"/>
      <c r="AJ83" s="135"/>
      <c r="AK83" s="133">
        <f t="shared" si="20"/>
        <v>0</v>
      </c>
      <c r="AL83" s="133">
        <f t="shared" si="21"/>
        <v>0</v>
      </c>
      <c r="AM83" s="38"/>
    </row>
    <row r="84" spans="1:39" ht="15" customHeight="1" x14ac:dyDescent="0.25">
      <c r="A84" s="104" t="e">
        <f>+#REF!</f>
        <v>#REF!</v>
      </c>
      <c r="B84" s="103">
        <v>79</v>
      </c>
      <c r="C84" s="196" t="s">
        <v>125</v>
      </c>
      <c r="D84" s="35" t="s">
        <v>75</v>
      </c>
      <c r="E84" s="48" t="s">
        <v>109</v>
      </c>
      <c r="F84" s="36" t="s">
        <v>26</v>
      </c>
      <c r="G84" s="36" t="s">
        <v>57</v>
      </c>
      <c r="I84" s="125"/>
      <c r="J84" s="126"/>
      <c r="K84" s="127"/>
      <c r="L84" s="128">
        <f t="shared" si="22"/>
        <v>0</v>
      </c>
      <c r="M84" s="125"/>
      <c r="N84" s="126"/>
      <c r="O84" s="134"/>
      <c r="P84" s="128">
        <f t="shared" si="9"/>
        <v>0</v>
      </c>
      <c r="Q84" s="125"/>
      <c r="R84" s="126"/>
      <c r="S84" s="134"/>
      <c r="T84" s="128">
        <f t="shared" si="10"/>
        <v>0</v>
      </c>
      <c r="U84" s="125"/>
      <c r="V84" s="126"/>
      <c r="W84" s="134"/>
      <c r="X84" s="128">
        <f t="shared" si="11"/>
        <v>0</v>
      </c>
      <c r="Y84" s="125">
        <v>75</v>
      </c>
      <c r="Z84" s="126"/>
      <c r="AA84" s="134"/>
      <c r="AB84" s="129">
        <f t="shared" si="12"/>
        <v>75</v>
      </c>
      <c r="AC84" s="209">
        <f t="shared" si="18"/>
        <v>75</v>
      </c>
      <c r="AD84" s="130">
        <v>75</v>
      </c>
      <c r="AE84" s="131"/>
      <c r="AF84" s="135"/>
      <c r="AG84" s="133">
        <f t="shared" si="19"/>
        <v>75</v>
      </c>
      <c r="AH84" s="130">
        <v>400</v>
      </c>
      <c r="AI84" s="131"/>
      <c r="AJ84" s="135"/>
      <c r="AK84" s="133">
        <f t="shared" si="20"/>
        <v>400</v>
      </c>
      <c r="AL84" s="133">
        <f t="shared" si="21"/>
        <v>475</v>
      </c>
      <c r="AM84" s="38"/>
    </row>
    <row r="85" spans="1:39" ht="15" customHeight="1" x14ac:dyDescent="0.25">
      <c r="A85" s="104" t="e">
        <f>+#REF!</f>
        <v>#REF!</v>
      </c>
      <c r="B85" s="103">
        <v>80</v>
      </c>
      <c r="C85" s="196" t="s">
        <v>307</v>
      </c>
      <c r="D85" s="35" t="s">
        <v>75</v>
      </c>
      <c r="E85" s="48" t="s">
        <v>111</v>
      </c>
      <c r="F85" s="36" t="s">
        <v>26</v>
      </c>
      <c r="G85" s="36" t="s">
        <v>36</v>
      </c>
      <c r="I85" s="125">
        <v>567.72</v>
      </c>
      <c r="J85" s="126"/>
      <c r="K85" s="127">
        <v>4897.2</v>
      </c>
      <c r="L85" s="128">
        <f t="shared" si="22"/>
        <v>5464.92</v>
      </c>
      <c r="M85" s="125">
        <v>185.74600000000001</v>
      </c>
      <c r="N85" s="126">
        <v>1400</v>
      </c>
      <c r="O85" s="134">
        <v>5789.71</v>
      </c>
      <c r="P85" s="128">
        <f t="shared" si="9"/>
        <v>7375.4560000000001</v>
      </c>
      <c r="Q85" s="125">
        <v>724.49099999999999</v>
      </c>
      <c r="R85" s="126">
        <v>1760.7170000000001</v>
      </c>
      <c r="S85" s="134">
        <v>14141.874</v>
      </c>
      <c r="T85" s="128">
        <f t="shared" si="10"/>
        <v>16627.081999999999</v>
      </c>
      <c r="U85" s="125">
        <v>1022.5</v>
      </c>
      <c r="V85" s="126"/>
      <c r="W85" s="134">
        <v>11302.5</v>
      </c>
      <c r="X85" s="128">
        <f t="shared" si="11"/>
        <v>12325</v>
      </c>
      <c r="Y85" s="125">
        <v>1085</v>
      </c>
      <c r="Z85" s="126"/>
      <c r="AA85" s="134">
        <v>5165</v>
      </c>
      <c r="AB85" s="129">
        <f t="shared" si="12"/>
        <v>6250</v>
      </c>
      <c r="AC85" s="209">
        <f t="shared" si="18"/>
        <v>42577.538</v>
      </c>
      <c r="AD85" s="130">
        <v>350</v>
      </c>
      <c r="AE85" s="131"/>
      <c r="AF85" s="135">
        <v>3150</v>
      </c>
      <c r="AG85" s="133">
        <f t="shared" si="19"/>
        <v>3500</v>
      </c>
      <c r="AH85" s="130">
        <v>245</v>
      </c>
      <c r="AI85" s="131"/>
      <c r="AJ85" s="135">
        <v>1005</v>
      </c>
      <c r="AK85" s="133">
        <f t="shared" si="20"/>
        <v>1250</v>
      </c>
      <c r="AL85" s="133">
        <f t="shared" si="21"/>
        <v>4750</v>
      </c>
      <c r="AM85" s="38"/>
    </row>
    <row r="86" spans="1:39" ht="15" customHeight="1" x14ac:dyDescent="0.25">
      <c r="A86" s="104" t="e">
        <f>+#REF!</f>
        <v>#REF!</v>
      </c>
      <c r="B86" s="103">
        <v>81</v>
      </c>
      <c r="C86" s="196" t="s">
        <v>103</v>
      </c>
      <c r="D86" s="35" t="s">
        <v>75</v>
      </c>
      <c r="E86" s="48" t="s">
        <v>112</v>
      </c>
      <c r="F86" s="36" t="s">
        <v>39</v>
      </c>
      <c r="G86" s="36" t="s">
        <v>25</v>
      </c>
      <c r="I86" s="125">
        <v>2000</v>
      </c>
      <c r="J86" s="126"/>
      <c r="K86" s="127"/>
      <c r="L86" s="128">
        <f t="shared" si="22"/>
        <v>2000</v>
      </c>
      <c r="M86" s="125"/>
      <c r="N86" s="126"/>
      <c r="O86" s="134"/>
      <c r="P86" s="128">
        <f t="shared" si="9"/>
        <v>0</v>
      </c>
      <c r="Q86" s="125">
        <v>3000</v>
      </c>
      <c r="R86" s="126"/>
      <c r="S86" s="134"/>
      <c r="T86" s="128">
        <f t="shared" si="10"/>
        <v>3000</v>
      </c>
      <c r="U86" s="125">
        <v>2000</v>
      </c>
      <c r="V86" s="126"/>
      <c r="W86" s="134"/>
      <c r="X86" s="128">
        <f t="shared" si="11"/>
        <v>2000</v>
      </c>
      <c r="Y86" s="125"/>
      <c r="Z86" s="126"/>
      <c r="AA86" s="134"/>
      <c r="AB86" s="129">
        <f t="shared" si="12"/>
        <v>0</v>
      </c>
      <c r="AC86" s="209">
        <f t="shared" si="18"/>
        <v>5000</v>
      </c>
      <c r="AD86" s="130"/>
      <c r="AE86" s="131"/>
      <c r="AF86" s="135"/>
      <c r="AG86" s="133">
        <f t="shared" si="19"/>
        <v>0</v>
      </c>
      <c r="AH86" s="130"/>
      <c r="AI86" s="131"/>
      <c r="AJ86" s="135"/>
      <c r="AK86" s="133">
        <f t="shared" si="20"/>
        <v>0</v>
      </c>
      <c r="AL86" s="133">
        <f t="shared" si="21"/>
        <v>0</v>
      </c>
      <c r="AM86" s="38"/>
    </row>
    <row r="87" spans="1:39" ht="15" customHeight="1" x14ac:dyDescent="0.25">
      <c r="A87" s="104" t="e">
        <f>+#REF!</f>
        <v>#REF!</v>
      </c>
      <c r="B87" s="103">
        <v>82</v>
      </c>
      <c r="C87" s="196" t="s">
        <v>137</v>
      </c>
      <c r="D87" s="35" t="s">
        <v>75</v>
      </c>
      <c r="E87" s="48" t="s">
        <v>113</v>
      </c>
      <c r="F87" s="36" t="s">
        <v>39</v>
      </c>
      <c r="G87" s="36" t="s">
        <v>25</v>
      </c>
      <c r="I87" s="125">
        <v>2746.8</v>
      </c>
      <c r="J87" s="126"/>
      <c r="K87" s="127">
        <v>9235.1</v>
      </c>
      <c r="L87" s="128">
        <f t="shared" si="22"/>
        <v>11981.900000000001</v>
      </c>
      <c r="M87" s="125">
        <v>576.4</v>
      </c>
      <c r="N87" s="126"/>
      <c r="O87" s="134">
        <v>2305.6</v>
      </c>
      <c r="P87" s="128">
        <f t="shared" si="9"/>
        <v>2882</v>
      </c>
      <c r="Q87" s="125"/>
      <c r="R87" s="126"/>
      <c r="S87" s="134"/>
      <c r="T87" s="128">
        <f t="shared" si="10"/>
        <v>0</v>
      </c>
      <c r="U87" s="125"/>
      <c r="V87" s="126"/>
      <c r="W87" s="134"/>
      <c r="X87" s="128">
        <f t="shared" si="11"/>
        <v>0</v>
      </c>
      <c r="Y87" s="125"/>
      <c r="Z87" s="126"/>
      <c r="AA87" s="134"/>
      <c r="AB87" s="129">
        <f t="shared" si="12"/>
        <v>0</v>
      </c>
      <c r="AC87" s="209">
        <f t="shared" si="18"/>
        <v>2882</v>
      </c>
      <c r="AD87" s="130"/>
      <c r="AE87" s="131"/>
      <c r="AF87" s="135"/>
      <c r="AG87" s="133">
        <f t="shared" si="19"/>
        <v>0</v>
      </c>
      <c r="AH87" s="130"/>
      <c r="AI87" s="131"/>
      <c r="AJ87" s="135"/>
      <c r="AK87" s="133">
        <f t="shared" si="20"/>
        <v>0</v>
      </c>
      <c r="AL87" s="133">
        <f t="shared" si="21"/>
        <v>0</v>
      </c>
      <c r="AM87" s="38"/>
    </row>
    <row r="88" spans="1:39" ht="15" customHeight="1" x14ac:dyDescent="0.25">
      <c r="A88" s="104" t="e">
        <f>+#REF!</f>
        <v>#REF!</v>
      </c>
      <c r="B88" s="103">
        <v>83</v>
      </c>
      <c r="C88" s="196" t="s">
        <v>308</v>
      </c>
      <c r="D88" s="35" t="s">
        <v>75</v>
      </c>
      <c r="E88" s="48" t="s">
        <v>185</v>
      </c>
      <c r="F88" s="36" t="s">
        <v>33</v>
      </c>
      <c r="G88" s="36" t="s">
        <v>25</v>
      </c>
      <c r="I88" s="125"/>
      <c r="J88" s="126"/>
      <c r="K88" s="127">
        <v>2248.125</v>
      </c>
      <c r="L88" s="128">
        <f t="shared" si="22"/>
        <v>2248.125</v>
      </c>
      <c r="M88" s="125"/>
      <c r="N88" s="126"/>
      <c r="O88" s="134">
        <v>1650</v>
      </c>
      <c r="P88" s="128">
        <f t="shared" si="9"/>
        <v>1650</v>
      </c>
      <c r="Q88" s="125"/>
      <c r="R88" s="126"/>
      <c r="S88" s="134">
        <v>2077.9409999999998</v>
      </c>
      <c r="T88" s="128">
        <f t="shared" si="10"/>
        <v>2077.9409999999998</v>
      </c>
      <c r="U88" s="125"/>
      <c r="V88" s="126"/>
      <c r="W88" s="134">
        <v>990</v>
      </c>
      <c r="X88" s="128">
        <f t="shared" si="11"/>
        <v>990</v>
      </c>
      <c r="Y88" s="125"/>
      <c r="Z88" s="126"/>
      <c r="AA88" s="134"/>
      <c r="AB88" s="129">
        <f t="shared" si="12"/>
        <v>0</v>
      </c>
      <c r="AC88" s="209">
        <f t="shared" si="18"/>
        <v>4717.9409999999998</v>
      </c>
      <c r="AD88" s="130"/>
      <c r="AE88" s="131"/>
      <c r="AF88" s="135"/>
      <c r="AG88" s="133">
        <f t="shared" si="19"/>
        <v>0</v>
      </c>
      <c r="AH88" s="130"/>
      <c r="AI88" s="131"/>
      <c r="AJ88" s="135"/>
      <c r="AK88" s="133">
        <f t="shared" si="20"/>
        <v>0</v>
      </c>
      <c r="AL88" s="133">
        <f t="shared" si="21"/>
        <v>0</v>
      </c>
      <c r="AM88" s="38"/>
    </row>
    <row r="89" spans="1:39" ht="15" customHeight="1" x14ac:dyDescent="0.25">
      <c r="A89" s="104" t="e">
        <f>+#REF!</f>
        <v>#REF!</v>
      </c>
      <c r="B89" s="103">
        <v>84</v>
      </c>
      <c r="C89" s="196" t="s">
        <v>139</v>
      </c>
      <c r="D89" s="35" t="s">
        <v>75</v>
      </c>
      <c r="E89" s="48" t="s">
        <v>116</v>
      </c>
      <c r="F89" s="36" t="s">
        <v>26</v>
      </c>
      <c r="G89" s="36" t="s">
        <v>36</v>
      </c>
      <c r="I89" s="125"/>
      <c r="J89" s="126"/>
      <c r="K89" s="127"/>
      <c r="L89" s="128">
        <f t="shared" si="22"/>
        <v>0</v>
      </c>
      <c r="M89" s="125"/>
      <c r="N89" s="126"/>
      <c r="O89" s="134"/>
      <c r="P89" s="128">
        <f t="shared" si="9"/>
        <v>0</v>
      </c>
      <c r="Q89" s="125">
        <v>1000</v>
      </c>
      <c r="R89" s="126">
        <v>4000</v>
      </c>
      <c r="S89" s="134"/>
      <c r="T89" s="128">
        <f t="shared" si="10"/>
        <v>5000</v>
      </c>
      <c r="U89" s="125"/>
      <c r="V89" s="126">
        <v>3800</v>
      </c>
      <c r="W89" s="134"/>
      <c r="X89" s="128">
        <f t="shared" si="11"/>
        <v>3800</v>
      </c>
      <c r="Y89" s="125"/>
      <c r="Z89" s="126"/>
      <c r="AA89" s="134"/>
      <c r="AB89" s="129">
        <f t="shared" si="12"/>
        <v>0</v>
      </c>
      <c r="AC89" s="209">
        <f t="shared" si="18"/>
        <v>8800</v>
      </c>
      <c r="AD89" s="130"/>
      <c r="AE89" s="131"/>
      <c r="AF89" s="135"/>
      <c r="AG89" s="133">
        <f t="shared" si="19"/>
        <v>0</v>
      </c>
      <c r="AH89" s="130"/>
      <c r="AI89" s="131"/>
      <c r="AJ89" s="135"/>
      <c r="AK89" s="133">
        <f t="shared" si="20"/>
        <v>0</v>
      </c>
      <c r="AL89" s="133">
        <f t="shared" si="21"/>
        <v>0</v>
      </c>
      <c r="AM89" s="38"/>
    </row>
    <row r="90" spans="1:39" ht="15" customHeight="1" x14ac:dyDescent="0.25">
      <c r="A90" s="104" t="e">
        <f>+#REF!</f>
        <v>#REF!</v>
      </c>
      <c r="B90" s="103">
        <v>85</v>
      </c>
      <c r="C90" s="196" t="s">
        <v>134</v>
      </c>
      <c r="D90" s="35" t="s">
        <v>75</v>
      </c>
      <c r="E90" s="48" t="s">
        <v>118</v>
      </c>
      <c r="F90" s="36" t="s">
        <v>26</v>
      </c>
      <c r="G90" s="36" t="s">
        <v>29</v>
      </c>
      <c r="I90" s="125">
        <v>12989.868</v>
      </c>
      <c r="J90" s="126"/>
      <c r="K90" s="127">
        <v>5100</v>
      </c>
      <c r="L90" s="128">
        <f t="shared" si="22"/>
        <v>18089.868000000002</v>
      </c>
      <c r="M90" s="125">
        <v>1380.7429999999999</v>
      </c>
      <c r="N90" s="126"/>
      <c r="O90" s="134">
        <v>647.26700000000005</v>
      </c>
      <c r="P90" s="128">
        <f t="shared" si="9"/>
        <v>2028.01</v>
      </c>
      <c r="Q90" s="125"/>
      <c r="R90" s="126"/>
      <c r="S90" s="134"/>
      <c r="T90" s="128">
        <f t="shared" si="10"/>
        <v>0</v>
      </c>
      <c r="U90" s="125"/>
      <c r="V90" s="126"/>
      <c r="W90" s="134"/>
      <c r="X90" s="128">
        <f t="shared" si="11"/>
        <v>0</v>
      </c>
      <c r="Y90" s="125"/>
      <c r="Z90" s="126"/>
      <c r="AA90" s="134"/>
      <c r="AB90" s="129">
        <f t="shared" si="12"/>
        <v>0</v>
      </c>
      <c r="AC90" s="209">
        <f t="shared" si="18"/>
        <v>2028.01</v>
      </c>
      <c r="AD90" s="130"/>
      <c r="AE90" s="131"/>
      <c r="AF90" s="135"/>
      <c r="AG90" s="133">
        <f t="shared" si="19"/>
        <v>0</v>
      </c>
      <c r="AH90" s="130"/>
      <c r="AI90" s="131"/>
      <c r="AJ90" s="135"/>
      <c r="AK90" s="133">
        <f t="shared" si="20"/>
        <v>0</v>
      </c>
      <c r="AL90" s="133">
        <f t="shared" si="21"/>
        <v>0</v>
      </c>
      <c r="AM90" s="38"/>
    </row>
    <row r="91" spans="1:39" ht="15" customHeight="1" x14ac:dyDescent="0.25">
      <c r="A91" s="104" t="e">
        <f>+#REF!</f>
        <v>#REF!</v>
      </c>
      <c r="B91" s="103">
        <v>86</v>
      </c>
      <c r="C91" s="196" t="s">
        <v>139</v>
      </c>
      <c r="D91" s="35" t="s">
        <v>75</v>
      </c>
      <c r="E91" s="48" t="s">
        <v>119</v>
      </c>
      <c r="F91" s="36" t="s">
        <v>26</v>
      </c>
      <c r="G91" s="36" t="s">
        <v>36</v>
      </c>
      <c r="I91" s="125">
        <v>599.69500000000005</v>
      </c>
      <c r="J91" s="126"/>
      <c r="K91" s="127"/>
      <c r="L91" s="128">
        <f t="shared" si="22"/>
        <v>599.69500000000005</v>
      </c>
      <c r="M91" s="125"/>
      <c r="N91" s="126"/>
      <c r="O91" s="134"/>
      <c r="P91" s="128">
        <f t="shared" si="9"/>
        <v>0</v>
      </c>
      <c r="Q91" s="125"/>
      <c r="R91" s="126"/>
      <c r="S91" s="134"/>
      <c r="T91" s="128">
        <f t="shared" si="10"/>
        <v>0</v>
      </c>
      <c r="U91" s="125"/>
      <c r="V91" s="126"/>
      <c r="W91" s="134"/>
      <c r="X91" s="128">
        <f t="shared" si="11"/>
        <v>0</v>
      </c>
      <c r="Y91" s="125"/>
      <c r="Z91" s="126"/>
      <c r="AA91" s="134"/>
      <c r="AB91" s="129">
        <f t="shared" si="12"/>
        <v>0</v>
      </c>
      <c r="AC91" s="209">
        <f t="shared" si="18"/>
        <v>0</v>
      </c>
      <c r="AD91" s="130"/>
      <c r="AE91" s="131"/>
      <c r="AF91" s="135"/>
      <c r="AG91" s="133">
        <f t="shared" si="19"/>
        <v>0</v>
      </c>
      <c r="AH91" s="130"/>
      <c r="AI91" s="131"/>
      <c r="AJ91" s="135"/>
      <c r="AK91" s="133">
        <f t="shared" si="20"/>
        <v>0</v>
      </c>
      <c r="AL91" s="133">
        <f t="shared" si="21"/>
        <v>0</v>
      </c>
      <c r="AM91" s="38"/>
    </row>
    <row r="92" spans="1:39" ht="15" customHeight="1" x14ac:dyDescent="0.25">
      <c r="A92" s="104" t="e">
        <f>+#REF!</f>
        <v>#REF!</v>
      </c>
      <c r="B92" s="103">
        <v>87</v>
      </c>
      <c r="C92" s="196" t="s">
        <v>144</v>
      </c>
      <c r="D92" s="35" t="s">
        <v>75</v>
      </c>
      <c r="E92" s="48" t="s">
        <v>122</v>
      </c>
      <c r="F92" s="36" t="s">
        <v>39</v>
      </c>
      <c r="G92" s="36" t="s">
        <v>57</v>
      </c>
      <c r="I92" s="125">
        <v>60</v>
      </c>
      <c r="J92" s="126"/>
      <c r="K92" s="127">
        <v>240</v>
      </c>
      <c r="L92" s="128">
        <f t="shared" si="22"/>
        <v>300</v>
      </c>
      <c r="M92" s="125">
        <v>160</v>
      </c>
      <c r="N92" s="126"/>
      <c r="O92" s="134">
        <v>640</v>
      </c>
      <c r="P92" s="128">
        <f t="shared" si="9"/>
        <v>800</v>
      </c>
      <c r="Q92" s="125">
        <v>60</v>
      </c>
      <c r="R92" s="126"/>
      <c r="S92" s="134">
        <v>240</v>
      </c>
      <c r="T92" s="128">
        <f t="shared" si="10"/>
        <v>300</v>
      </c>
      <c r="U92" s="125">
        <v>1200</v>
      </c>
      <c r="V92" s="126"/>
      <c r="W92" s="134">
        <v>4800</v>
      </c>
      <c r="X92" s="128">
        <f t="shared" si="11"/>
        <v>6000</v>
      </c>
      <c r="Y92" s="125">
        <v>1200</v>
      </c>
      <c r="Z92" s="126"/>
      <c r="AA92" s="134">
        <v>4800</v>
      </c>
      <c r="AB92" s="129">
        <f t="shared" si="12"/>
        <v>6000</v>
      </c>
      <c r="AC92" s="209">
        <f t="shared" si="18"/>
        <v>13100</v>
      </c>
      <c r="AD92" s="130"/>
      <c r="AE92" s="131"/>
      <c r="AF92" s="135"/>
      <c r="AG92" s="133">
        <f t="shared" si="19"/>
        <v>0</v>
      </c>
      <c r="AH92" s="130"/>
      <c r="AI92" s="131"/>
      <c r="AJ92" s="135"/>
      <c r="AK92" s="133">
        <f t="shared" si="20"/>
        <v>0</v>
      </c>
      <c r="AL92" s="133">
        <f t="shared" si="21"/>
        <v>0</v>
      </c>
      <c r="AM92" s="38"/>
    </row>
    <row r="93" spans="1:39" ht="15" customHeight="1" x14ac:dyDescent="0.25">
      <c r="A93" s="104" t="e">
        <f>+#REF!</f>
        <v>#REF!</v>
      </c>
      <c r="B93" s="103">
        <v>88</v>
      </c>
      <c r="C93" s="196" t="s">
        <v>301</v>
      </c>
      <c r="D93" s="35" t="s">
        <v>75</v>
      </c>
      <c r="E93" s="48" t="s">
        <v>201</v>
      </c>
      <c r="F93" s="36" t="s">
        <v>26</v>
      </c>
      <c r="G93" s="36" t="s">
        <v>38</v>
      </c>
      <c r="I93" s="125">
        <v>480</v>
      </c>
      <c r="J93" s="126"/>
      <c r="K93" s="127">
        <v>3244.5639999999999</v>
      </c>
      <c r="L93" s="128">
        <f t="shared" si="22"/>
        <v>3724.5639999999999</v>
      </c>
      <c r="M93" s="125">
        <v>6195</v>
      </c>
      <c r="N93" s="126"/>
      <c r="O93" s="134">
        <v>8805</v>
      </c>
      <c r="P93" s="128">
        <f t="shared" si="9"/>
        <v>15000</v>
      </c>
      <c r="Q93" s="125">
        <v>6195</v>
      </c>
      <c r="R93" s="126"/>
      <c r="S93" s="134">
        <v>8805</v>
      </c>
      <c r="T93" s="128">
        <f t="shared" si="10"/>
        <v>15000</v>
      </c>
      <c r="U93" s="125">
        <v>330.4</v>
      </c>
      <c r="V93" s="126"/>
      <c r="W93" s="134">
        <v>469.6</v>
      </c>
      <c r="X93" s="128">
        <f t="shared" si="11"/>
        <v>800</v>
      </c>
      <c r="Y93" s="125"/>
      <c r="Z93" s="126"/>
      <c r="AA93" s="134"/>
      <c r="AB93" s="129">
        <f t="shared" si="12"/>
        <v>0</v>
      </c>
      <c r="AC93" s="209">
        <f t="shared" si="18"/>
        <v>30800</v>
      </c>
      <c r="AD93" s="130"/>
      <c r="AE93" s="131"/>
      <c r="AF93" s="135"/>
      <c r="AG93" s="133">
        <f t="shared" si="19"/>
        <v>0</v>
      </c>
      <c r="AH93" s="130"/>
      <c r="AI93" s="131"/>
      <c r="AJ93" s="135"/>
      <c r="AK93" s="133">
        <f t="shared" si="20"/>
        <v>0</v>
      </c>
      <c r="AL93" s="133">
        <f t="shared" si="21"/>
        <v>0</v>
      </c>
      <c r="AM93" s="38"/>
    </row>
    <row r="94" spans="1:39" ht="15" customHeight="1" x14ac:dyDescent="0.25">
      <c r="A94" s="104" t="e">
        <f>+#REF!</f>
        <v>#REF!</v>
      </c>
      <c r="B94" s="103">
        <v>89</v>
      </c>
      <c r="C94" s="196" t="s">
        <v>147</v>
      </c>
      <c r="D94" s="35" t="s">
        <v>75</v>
      </c>
      <c r="E94" s="48" t="s">
        <v>123</v>
      </c>
      <c r="F94" s="36" t="s">
        <v>39</v>
      </c>
      <c r="G94" s="36" t="s">
        <v>57</v>
      </c>
      <c r="I94" s="125"/>
      <c r="J94" s="126"/>
      <c r="K94" s="127">
        <v>25</v>
      </c>
      <c r="L94" s="128">
        <f t="shared" si="22"/>
        <v>25</v>
      </c>
      <c r="M94" s="125"/>
      <c r="N94" s="126"/>
      <c r="O94" s="134"/>
      <c r="P94" s="128">
        <f t="shared" si="9"/>
        <v>0</v>
      </c>
      <c r="Q94" s="125"/>
      <c r="R94" s="126"/>
      <c r="S94" s="134"/>
      <c r="T94" s="128">
        <f t="shared" si="10"/>
        <v>0</v>
      </c>
      <c r="U94" s="125"/>
      <c r="V94" s="126"/>
      <c r="W94" s="134"/>
      <c r="X94" s="128">
        <f t="shared" si="11"/>
        <v>0</v>
      </c>
      <c r="Y94" s="125"/>
      <c r="Z94" s="126"/>
      <c r="AA94" s="134"/>
      <c r="AB94" s="129">
        <f t="shared" si="12"/>
        <v>0</v>
      </c>
      <c r="AC94" s="209">
        <f t="shared" si="18"/>
        <v>0</v>
      </c>
      <c r="AD94" s="130"/>
      <c r="AE94" s="131"/>
      <c r="AF94" s="135"/>
      <c r="AG94" s="133">
        <f t="shared" si="19"/>
        <v>0</v>
      </c>
      <c r="AH94" s="130"/>
      <c r="AI94" s="131"/>
      <c r="AJ94" s="135"/>
      <c r="AK94" s="133">
        <f t="shared" si="20"/>
        <v>0</v>
      </c>
      <c r="AL94" s="133">
        <f t="shared" si="21"/>
        <v>0</v>
      </c>
      <c r="AM94" s="38"/>
    </row>
    <row r="95" spans="1:39" ht="15" customHeight="1" x14ac:dyDescent="0.25">
      <c r="A95" s="104" t="e">
        <f>+#REF!</f>
        <v>#REF!</v>
      </c>
      <c r="B95" s="103">
        <v>90</v>
      </c>
      <c r="C95" s="196" t="s">
        <v>130</v>
      </c>
      <c r="D95" s="35" t="s">
        <v>75</v>
      </c>
      <c r="E95" s="48" t="s">
        <v>126</v>
      </c>
      <c r="F95" s="36" t="s">
        <v>26</v>
      </c>
      <c r="G95" s="36" t="s">
        <v>25</v>
      </c>
      <c r="I95" s="125">
        <v>10</v>
      </c>
      <c r="J95" s="126"/>
      <c r="K95" s="127"/>
      <c r="L95" s="128">
        <f t="shared" si="22"/>
        <v>10</v>
      </c>
      <c r="M95" s="125">
        <v>39.6</v>
      </c>
      <c r="N95" s="126"/>
      <c r="O95" s="134"/>
      <c r="P95" s="128">
        <f t="shared" si="9"/>
        <v>39.6</v>
      </c>
      <c r="Q95" s="125"/>
      <c r="R95" s="126"/>
      <c r="S95" s="134"/>
      <c r="T95" s="128">
        <f t="shared" si="10"/>
        <v>0</v>
      </c>
      <c r="U95" s="125"/>
      <c r="V95" s="126"/>
      <c r="W95" s="134"/>
      <c r="X95" s="128">
        <f t="shared" si="11"/>
        <v>0</v>
      </c>
      <c r="Y95" s="125"/>
      <c r="Z95" s="126"/>
      <c r="AA95" s="134"/>
      <c r="AB95" s="129">
        <f t="shared" si="12"/>
        <v>0</v>
      </c>
      <c r="AC95" s="209">
        <f t="shared" si="18"/>
        <v>39.6</v>
      </c>
      <c r="AD95" s="130">
        <v>400</v>
      </c>
      <c r="AE95" s="131"/>
      <c r="AF95" s="135"/>
      <c r="AG95" s="133">
        <f t="shared" si="19"/>
        <v>400</v>
      </c>
      <c r="AH95" s="130">
        <v>1500</v>
      </c>
      <c r="AI95" s="131"/>
      <c r="AJ95" s="135"/>
      <c r="AK95" s="133">
        <f t="shared" si="20"/>
        <v>1500</v>
      </c>
      <c r="AL95" s="133">
        <f t="shared" si="21"/>
        <v>1900</v>
      </c>
      <c r="AM95" s="38"/>
    </row>
    <row r="96" spans="1:39" ht="15" customHeight="1" x14ac:dyDescent="0.25">
      <c r="A96" s="104" t="e">
        <f>+#REF!</f>
        <v>#REF!</v>
      </c>
      <c r="B96" s="103">
        <v>91</v>
      </c>
      <c r="C96" s="196" t="s">
        <v>313</v>
      </c>
      <c r="D96" s="35" t="s">
        <v>75</v>
      </c>
      <c r="E96" s="48" t="s">
        <v>129</v>
      </c>
      <c r="F96" s="36" t="s">
        <v>33</v>
      </c>
      <c r="G96" s="36" t="s">
        <v>25</v>
      </c>
      <c r="I96" s="125"/>
      <c r="J96" s="126"/>
      <c r="K96" s="127"/>
      <c r="L96" s="128">
        <f t="shared" si="22"/>
        <v>0</v>
      </c>
      <c r="M96" s="125">
        <v>735.30600000000004</v>
      </c>
      <c r="N96" s="126"/>
      <c r="O96" s="134"/>
      <c r="P96" s="128">
        <f t="shared" si="9"/>
        <v>735.30600000000004</v>
      </c>
      <c r="Q96" s="125"/>
      <c r="R96" s="126"/>
      <c r="S96" s="134"/>
      <c r="T96" s="128">
        <f t="shared" si="10"/>
        <v>0</v>
      </c>
      <c r="U96" s="125"/>
      <c r="V96" s="126"/>
      <c r="W96" s="134"/>
      <c r="X96" s="128">
        <f t="shared" si="11"/>
        <v>0</v>
      </c>
      <c r="Y96" s="125"/>
      <c r="Z96" s="126"/>
      <c r="AA96" s="134"/>
      <c r="AB96" s="129">
        <f t="shared" si="12"/>
        <v>0</v>
      </c>
      <c r="AC96" s="209">
        <f t="shared" si="18"/>
        <v>735.30600000000004</v>
      </c>
      <c r="AD96" s="130"/>
      <c r="AE96" s="131"/>
      <c r="AF96" s="135"/>
      <c r="AG96" s="133">
        <f t="shared" si="19"/>
        <v>0</v>
      </c>
      <c r="AH96" s="130"/>
      <c r="AI96" s="131"/>
      <c r="AJ96" s="135"/>
      <c r="AK96" s="133">
        <f t="shared" si="20"/>
        <v>0</v>
      </c>
      <c r="AL96" s="133">
        <f t="shared" si="21"/>
        <v>0</v>
      </c>
      <c r="AM96" s="38"/>
    </row>
    <row r="97" spans="1:39" ht="15" customHeight="1" x14ac:dyDescent="0.25">
      <c r="A97" s="104" t="e">
        <f>+#REF!</f>
        <v>#REF!</v>
      </c>
      <c r="B97" s="103">
        <v>92</v>
      </c>
      <c r="C97" s="196" t="s">
        <v>301</v>
      </c>
      <c r="D97" s="35" t="s">
        <v>75</v>
      </c>
      <c r="E97" s="48" t="s">
        <v>237</v>
      </c>
      <c r="F97" s="36" t="s">
        <v>26</v>
      </c>
      <c r="G97" s="36" t="s">
        <v>38</v>
      </c>
      <c r="I97" s="125"/>
      <c r="J97" s="126"/>
      <c r="K97" s="127">
        <v>667.78300000000002</v>
      </c>
      <c r="L97" s="128">
        <f t="shared" si="22"/>
        <v>667.78300000000002</v>
      </c>
      <c r="M97" s="125"/>
      <c r="N97" s="126"/>
      <c r="O97" s="134"/>
      <c r="P97" s="128">
        <f t="shared" si="9"/>
        <v>0</v>
      </c>
      <c r="Q97" s="125"/>
      <c r="R97" s="126"/>
      <c r="S97" s="134"/>
      <c r="T97" s="128">
        <f t="shared" si="10"/>
        <v>0</v>
      </c>
      <c r="U97" s="125"/>
      <c r="V97" s="126"/>
      <c r="W97" s="134"/>
      <c r="X97" s="128">
        <f t="shared" si="11"/>
        <v>0</v>
      </c>
      <c r="Y97" s="125"/>
      <c r="Z97" s="126"/>
      <c r="AA97" s="134"/>
      <c r="AB97" s="129">
        <f t="shared" si="12"/>
        <v>0</v>
      </c>
      <c r="AC97" s="209">
        <f t="shared" si="18"/>
        <v>0</v>
      </c>
      <c r="AD97" s="130"/>
      <c r="AE97" s="131"/>
      <c r="AF97" s="135"/>
      <c r="AG97" s="133">
        <f t="shared" si="19"/>
        <v>0</v>
      </c>
      <c r="AH97" s="130"/>
      <c r="AI97" s="131"/>
      <c r="AJ97" s="135"/>
      <c r="AK97" s="133">
        <f t="shared" si="20"/>
        <v>0</v>
      </c>
      <c r="AL97" s="133">
        <f t="shared" si="21"/>
        <v>0</v>
      </c>
      <c r="AM97" s="38"/>
    </row>
    <row r="98" spans="1:39" ht="15" customHeight="1" x14ac:dyDescent="0.25">
      <c r="A98" s="104" t="e">
        <f>+#REF!</f>
        <v>#REF!</v>
      </c>
      <c r="B98" s="103">
        <v>93</v>
      </c>
      <c r="C98" s="196" t="s">
        <v>321</v>
      </c>
      <c r="D98" s="35" t="s">
        <v>75</v>
      </c>
      <c r="E98" s="48" t="s">
        <v>225</v>
      </c>
      <c r="F98" s="36" t="s">
        <v>39</v>
      </c>
      <c r="G98" s="36" t="s">
        <v>25</v>
      </c>
      <c r="I98" s="125">
        <v>182.30799999999999</v>
      </c>
      <c r="J98" s="126"/>
      <c r="K98" s="127">
        <v>240</v>
      </c>
      <c r="L98" s="128">
        <f t="shared" si="22"/>
        <v>422.30799999999999</v>
      </c>
      <c r="M98" s="125">
        <v>200</v>
      </c>
      <c r="N98" s="126"/>
      <c r="O98" s="134">
        <v>800</v>
      </c>
      <c r="P98" s="128">
        <f t="shared" si="9"/>
        <v>1000</v>
      </c>
      <c r="Q98" s="125">
        <v>40</v>
      </c>
      <c r="R98" s="126"/>
      <c r="S98" s="134">
        <v>160</v>
      </c>
      <c r="T98" s="128">
        <f t="shared" si="10"/>
        <v>200</v>
      </c>
      <c r="U98" s="125">
        <v>1100</v>
      </c>
      <c r="V98" s="126"/>
      <c r="W98" s="134">
        <v>4400</v>
      </c>
      <c r="X98" s="128">
        <f t="shared" si="11"/>
        <v>5500</v>
      </c>
      <c r="Y98" s="125">
        <v>1100</v>
      </c>
      <c r="Z98" s="126"/>
      <c r="AA98" s="134">
        <v>4400</v>
      </c>
      <c r="AB98" s="129">
        <f t="shared" si="12"/>
        <v>5500</v>
      </c>
      <c r="AC98" s="209">
        <f t="shared" si="18"/>
        <v>12200</v>
      </c>
      <c r="AD98" s="130"/>
      <c r="AE98" s="131"/>
      <c r="AF98" s="135"/>
      <c r="AG98" s="133">
        <f t="shared" si="19"/>
        <v>0</v>
      </c>
      <c r="AH98" s="130"/>
      <c r="AI98" s="131"/>
      <c r="AJ98" s="135"/>
      <c r="AK98" s="133">
        <f t="shared" si="20"/>
        <v>0</v>
      </c>
      <c r="AL98" s="133">
        <f t="shared" si="21"/>
        <v>0</v>
      </c>
      <c r="AM98" s="38"/>
    </row>
    <row r="99" spans="1:39" ht="15" customHeight="1" x14ac:dyDescent="0.25">
      <c r="A99" s="104" t="e">
        <f>+#REF!</f>
        <v>#REF!</v>
      </c>
      <c r="B99" s="103">
        <v>94</v>
      </c>
      <c r="C99" s="196" t="s">
        <v>117</v>
      </c>
      <c r="D99" s="35" t="s">
        <v>75</v>
      </c>
      <c r="E99" s="48" t="s">
        <v>211</v>
      </c>
      <c r="F99" s="36" t="s">
        <v>39</v>
      </c>
      <c r="G99" s="36" t="s">
        <v>25</v>
      </c>
      <c r="I99" s="125">
        <v>365.34500000000003</v>
      </c>
      <c r="J99" s="126"/>
      <c r="K99" s="127">
        <v>750</v>
      </c>
      <c r="L99" s="128">
        <f t="shared" si="22"/>
        <v>1115.345</v>
      </c>
      <c r="M99" s="125"/>
      <c r="N99" s="126"/>
      <c r="O99" s="134">
        <v>750</v>
      </c>
      <c r="P99" s="128">
        <f t="shared" si="9"/>
        <v>750</v>
      </c>
      <c r="Q99" s="125"/>
      <c r="R99" s="126"/>
      <c r="S99" s="134"/>
      <c r="T99" s="128">
        <f t="shared" si="10"/>
        <v>0</v>
      </c>
      <c r="U99" s="125"/>
      <c r="V99" s="126"/>
      <c r="W99" s="134"/>
      <c r="X99" s="128">
        <f t="shared" si="11"/>
        <v>0</v>
      </c>
      <c r="Y99" s="125"/>
      <c r="Z99" s="126"/>
      <c r="AA99" s="134"/>
      <c r="AB99" s="129">
        <f t="shared" si="12"/>
        <v>0</v>
      </c>
      <c r="AC99" s="209">
        <f t="shared" si="18"/>
        <v>750</v>
      </c>
      <c r="AD99" s="130"/>
      <c r="AE99" s="131"/>
      <c r="AF99" s="135"/>
      <c r="AG99" s="133">
        <f t="shared" si="19"/>
        <v>0</v>
      </c>
      <c r="AH99" s="130"/>
      <c r="AI99" s="131"/>
      <c r="AJ99" s="135"/>
      <c r="AK99" s="133">
        <f t="shared" si="20"/>
        <v>0</v>
      </c>
      <c r="AL99" s="133">
        <f t="shared" si="21"/>
        <v>0</v>
      </c>
      <c r="AM99" s="38"/>
    </row>
    <row r="100" spans="1:39" ht="15" customHeight="1" x14ac:dyDescent="0.25">
      <c r="A100" s="104" t="e">
        <f>+#REF!</f>
        <v>#REF!</v>
      </c>
      <c r="B100" s="103">
        <v>95</v>
      </c>
      <c r="C100" s="196" t="s">
        <v>321</v>
      </c>
      <c r="D100" s="35" t="s">
        <v>75</v>
      </c>
      <c r="E100" s="48" t="s">
        <v>131</v>
      </c>
      <c r="F100" s="36" t="s">
        <v>39</v>
      </c>
      <c r="G100" s="36" t="s">
        <v>25</v>
      </c>
      <c r="I100" s="125">
        <v>6992.183</v>
      </c>
      <c r="J100" s="126"/>
      <c r="K100" s="127">
        <v>27115.866000000002</v>
      </c>
      <c r="L100" s="128">
        <f t="shared" si="22"/>
        <v>34108.048999999999</v>
      </c>
      <c r="M100" s="125"/>
      <c r="N100" s="126"/>
      <c r="O100" s="134"/>
      <c r="P100" s="128">
        <f t="shared" si="9"/>
        <v>0</v>
      </c>
      <c r="Q100" s="125"/>
      <c r="R100" s="126"/>
      <c r="S100" s="134"/>
      <c r="T100" s="128">
        <f t="shared" si="10"/>
        <v>0</v>
      </c>
      <c r="U100" s="125"/>
      <c r="V100" s="126"/>
      <c r="W100" s="134"/>
      <c r="X100" s="128">
        <f t="shared" si="11"/>
        <v>0</v>
      </c>
      <c r="Y100" s="125"/>
      <c r="Z100" s="126"/>
      <c r="AA100" s="134"/>
      <c r="AB100" s="129">
        <f t="shared" si="12"/>
        <v>0</v>
      </c>
      <c r="AC100" s="209">
        <f t="shared" si="18"/>
        <v>0</v>
      </c>
      <c r="AD100" s="130"/>
      <c r="AE100" s="131"/>
      <c r="AF100" s="135"/>
      <c r="AG100" s="133">
        <f t="shared" si="19"/>
        <v>0</v>
      </c>
      <c r="AH100" s="130"/>
      <c r="AI100" s="131"/>
      <c r="AJ100" s="135"/>
      <c r="AK100" s="133">
        <f t="shared" si="20"/>
        <v>0</v>
      </c>
      <c r="AL100" s="133">
        <f t="shared" si="21"/>
        <v>0</v>
      </c>
      <c r="AM100" s="38"/>
    </row>
    <row r="101" spans="1:39" ht="15" customHeight="1" x14ac:dyDescent="0.25">
      <c r="A101" s="104" t="e">
        <f>+#REF!</f>
        <v>#REF!</v>
      </c>
      <c r="B101" s="103">
        <v>96</v>
      </c>
      <c r="C101" s="196" t="s">
        <v>153</v>
      </c>
      <c r="D101" s="35" t="s">
        <v>75</v>
      </c>
      <c r="E101" s="48" t="s">
        <v>133</v>
      </c>
      <c r="F101" s="36" t="s">
        <v>39</v>
      </c>
      <c r="G101" s="36" t="s">
        <v>25</v>
      </c>
      <c r="I101" s="125">
        <v>497.1</v>
      </c>
      <c r="J101" s="126"/>
      <c r="K101" s="127">
        <v>2488.4</v>
      </c>
      <c r="L101" s="128">
        <f t="shared" si="22"/>
        <v>2985.5</v>
      </c>
      <c r="M101" s="125">
        <v>1198.5</v>
      </c>
      <c r="N101" s="126"/>
      <c r="O101" s="134">
        <v>4793.8999999999996</v>
      </c>
      <c r="P101" s="128">
        <f t="shared" si="9"/>
        <v>5992.4</v>
      </c>
      <c r="Q101" s="125"/>
      <c r="R101" s="126"/>
      <c r="S101" s="134">
        <v>1000</v>
      </c>
      <c r="T101" s="128">
        <f t="shared" si="10"/>
        <v>1000</v>
      </c>
      <c r="U101" s="125">
        <v>3000</v>
      </c>
      <c r="V101" s="126"/>
      <c r="W101" s="134">
        <v>12000</v>
      </c>
      <c r="X101" s="128">
        <f t="shared" ref="X101:X134" si="23">+U101+V101+W101</f>
        <v>15000</v>
      </c>
      <c r="Y101" s="125">
        <v>3000</v>
      </c>
      <c r="Z101" s="126"/>
      <c r="AA101" s="134">
        <v>12000</v>
      </c>
      <c r="AB101" s="129">
        <f t="shared" ref="AB101:AB134" si="24">+Y101+Z101+AA101</f>
        <v>15000</v>
      </c>
      <c r="AC101" s="209">
        <f t="shared" si="18"/>
        <v>36992.400000000001</v>
      </c>
      <c r="AD101" s="130"/>
      <c r="AE101" s="131"/>
      <c r="AF101" s="135"/>
      <c r="AG101" s="133">
        <f t="shared" si="19"/>
        <v>0</v>
      </c>
      <c r="AH101" s="130"/>
      <c r="AI101" s="131"/>
      <c r="AJ101" s="135"/>
      <c r="AK101" s="133">
        <f t="shared" si="20"/>
        <v>0</v>
      </c>
      <c r="AL101" s="133">
        <f t="shared" si="21"/>
        <v>0</v>
      </c>
      <c r="AM101" s="38"/>
    </row>
    <row r="102" spans="1:39" ht="15" customHeight="1" x14ac:dyDescent="0.25">
      <c r="A102" s="104" t="e">
        <f>+#REF!</f>
        <v>#REF!</v>
      </c>
      <c r="B102" s="103">
        <v>97</v>
      </c>
      <c r="C102" s="196" t="s">
        <v>315</v>
      </c>
      <c r="D102" s="35" t="s">
        <v>75</v>
      </c>
      <c r="E102" s="48" t="s">
        <v>135</v>
      </c>
      <c r="F102" s="36" t="s">
        <v>26</v>
      </c>
      <c r="G102" s="36" t="s">
        <v>25</v>
      </c>
      <c r="I102" s="125">
        <v>256.82</v>
      </c>
      <c r="J102" s="126"/>
      <c r="K102" s="127">
        <v>1027.279</v>
      </c>
      <c r="L102" s="128">
        <f t="shared" si="22"/>
        <v>1284.0989999999999</v>
      </c>
      <c r="M102" s="125"/>
      <c r="N102" s="126"/>
      <c r="O102" s="134">
        <v>5000</v>
      </c>
      <c r="P102" s="128">
        <f t="shared" ref="P102:P134" si="25">+M102+N102+O102</f>
        <v>5000</v>
      </c>
      <c r="Q102" s="125"/>
      <c r="R102" s="126"/>
      <c r="S102" s="134">
        <v>15000</v>
      </c>
      <c r="T102" s="128">
        <f t="shared" ref="T102:T134" si="26">+Q102+R102+S102</f>
        <v>15000</v>
      </c>
      <c r="U102" s="125"/>
      <c r="V102" s="126"/>
      <c r="W102" s="134"/>
      <c r="X102" s="128">
        <f t="shared" si="23"/>
        <v>0</v>
      </c>
      <c r="Y102" s="125"/>
      <c r="Z102" s="126"/>
      <c r="AA102" s="134"/>
      <c r="AB102" s="129">
        <f t="shared" si="24"/>
        <v>0</v>
      </c>
      <c r="AC102" s="209">
        <f t="shared" ref="AC102:AC134" si="27">+AB102+X102+P102+T102</f>
        <v>20000</v>
      </c>
      <c r="AD102" s="130"/>
      <c r="AE102" s="131"/>
      <c r="AF102" s="135"/>
      <c r="AG102" s="133">
        <f t="shared" ref="AG102:AG134" si="28">+AD102+AE102+AF102</f>
        <v>0</v>
      </c>
      <c r="AH102" s="130"/>
      <c r="AI102" s="131"/>
      <c r="AJ102" s="135"/>
      <c r="AK102" s="133">
        <f t="shared" ref="AK102:AK134" si="29">+AH102+AI102+AJ102</f>
        <v>0</v>
      </c>
      <c r="AL102" s="133">
        <f t="shared" ref="AL102:AL119" si="30">+AK102+AG102</f>
        <v>0</v>
      </c>
      <c r="AM102" s="38"/>
    </row>
    <row r="103" spans="1:39" ht="15" customHeight="1" x14ac:dyDescent="0.25">
      <c r="A103" s="104" t="e">
        <f>+#REF!</f>
        <v>#REF!</v>
      </c>
      <c r="B103" s="103">
        <v>98</v>
      </c>
      <c r="C103" s="196" t="s">
        <v>315</v>
      </c>
      <c r="D103" s="35" t="s">
        <v>75</v>
      </c>
      <c r="E103" s="48" t="s">
        <v>226</v>
      </c>
      <c r="F103" s="36" t="s">
        <v>26</v>
      </c>
      <c r="G103" s="36" t="s">
        <v>25</v>
      </c>
      <c r="I103" s="125">
        <v>100</v>
      </c>
      <c r="J103" s="126"/>
      <c r="K103" s="127">
        <v>400</v>
      </c>
      <c r="L103" s="128">
        <f t="shared" si="22"/>
        <v>500</v>
      </c>
      <c r="M103" s="125">
        <v>100</v>
      </c>
      <c r="N103" s="126"/>
      <c r="O103" s="134">
        <v>400</v>
      </c>
      <c r="P103" s="128">
        <f t="shared" si="25"/>
        <v>500</v>
      </c>
      <c r="Q103" s="125">
        <v>154.4</v>
      </c>
      <c r="R103" s="126"/>
      <c r="S103" s="134">
        <v>617.5</v>
      </c>
      <c r="T103" s="128">
        <f t="shared" si="26"/>
        <v>771.9</v>
      </c>
      <c r="U103" s="125">
        <v>600</v>
      </c>
      <c r="V103" s="126"/>
      <c r="W103" s="134">
        <v>2400</v>
      </c>
      <c r="X103" s="128">
        <f t="shared" si="23"/>
        <v>3000</v>
      </c>
      <c r="Y103" s="125">
        <v>1200</v>
      </c>
      <c r="Z103" s="126"/>
      <c r="AA103" s="134">
        <v>4800</v>
      </c>
      <c r="AB103" s="129">
        <f t="shared" si="24"/>
        <v>6000</v>
      </c>
      <c r="AC103" s="209">
        <f t="shared" si="27"/>
        <v>10271.9</v>
      </c>
      <c r="AD103" s="130"/>
      <c r="AE103" s="131"/>
      <c r="AF103" s="135"/>
      <c r="AG103" s="133">
        <f t="shared" si="28"/>
        <v>0</v>
      </c>
      <c r="AH103" s="130"/>
      <c r="AI103" s="131"/>
      <c r="AJ103" s="135"/>
      <c r="AK103" s="133">
        <f t="shared" si="29"/>
        <v>0</v>
      </c>
      <c r="AL103" s="133">
        <f t="shared" si="30"/>
        <v>0</v>
      </c>
      <c r="AM103" s="38"/>
    </row>
    <row r="104" spans="1:39" ht="15" customHeight="1" x14ac:dyDescent="0.25">
      <c r="A104" s="104" t="e">
        <f>+#REF!</f>
        <v>#REF!</v>
      </c>
      <c r="B104" s="103">
        <v>99</v>
      </c>
      <c r="C104" s="196" t="s">
        <v>311</v>
      </c>
      <c r="D104" s="35" t="s">
        <v>75</v>
      </c>
      <c r="E104" s="48" t="s">
        <v>186</v>
      </c>
      <c r="F104" s="36" t="s">
        <v>26</v>
      </c>
      <c r="G104" s="36" t="s">
        <v>36</v>
      </c>
      <c r="I104" s="125">
        <v>3.5830000000000002</v>
      </c>
      <c r="J104" s="126"/>
      <c r="K104" s="127">
        <v>3214.3</v>
      </c>
      <c r="L104" s="128">
        <f t="shared" si="22"/>
        <v>3217.8830000000003</v>
      </c>
      <c r="M104" s="125"/>
      <c r="N104" s="126"/>
      <c r="O104" s="134">
        <v>1191.9000000000001</v>
      </c>
      <c r="P104" s="128">
        <f t="shared" si="25"/>
        <v>1191.9000000000001</v>
      </c>
      <c r="Q104" s="125"/>
      <c r="R104" s="126"/>
      <c r="S104" s="134"/>
      <c r="T104" s="128">
        <f t="shared" si="26"/>
        <v>0</v>
      </c>
      <c r="U104" s="125"/>
      <c r="V104" s="126"/>
      <c r="W104" s="134"/>
      <c r="X104" s="128">
        <f t="shared" si="23"/>
        <v>0</v>
      </c>
      <c r="Y104" s="125"/>
      <c r="Z104" s="126"/>
      <c r="AA104" s="134"/>
      <c r="AB104" s="129">
        <f t="shared" si="24"/>
        <v>0</v>
      </c>
      <c r="AC104" s="209">
        <f t="shared" si="27"/>
        <v>1191.9000000000001</v>
      </c>
      <c r="AD104" s="130"/>
      <c r="AE104" s="131"/>
      <c r="AF104" s="135"/>
      <c r="AG104" s="133">
        <f t="shared" si="28"/>
        <v>0</v>
      </c>
      <c r="AH104" s="130"/>
      <c r="AI104" s="131"/>
      <c r="AJ104" s="135"/>
      <c r="AK104" s="133">
        <f t="shared" si="29"/>
        <v>0</v>
      </c>
      <c r="AL104" s="133">
        <f t="shared" si="30"/>
        <v>0</v>
      </c>
      <c r="AM104" s="38"/>
    </row>
    <row r="105" spans="1:39" ht="15" customHeight="1" x14ac:dyDescent="0.25">
      <c r="A105" s="104"/>
      <c r="B105" s="103">
        <v>100</v>
      </c>
      <c r="C105" s="196" t="s">
        <v>309</v>
      </c>
      <c r="D105" s="35" t="s">
        <v>75</v>
      </c>
      <c r="E105" s="39" t="s">
        <v>273</v>
      </c>
      <c r="F105" s="36" t="s">
        <v>39</v>
      </c>
      <c r="G105" s="36" t="s">
        <v>36</v>
      </c>
      <c r="I105" s="125"/>
      <c r="J105" s="126"/>
      <c r="K105" s="127"/>
      <c r="L105" s="128">
        <f t="shared" si="22"/>
        <v>0</v>
      </c>
      <c r="M105" s="125"/>
      <c r="N105" s="126"/>
      <c r="O105" s="134">
        <v>500</v>
      </c>
      <c r="P105" s="128">
        <f t="shared" si="25"/>
        <v>500</v>
      </c>
      <c r="Q105" s="125">
        <v>100</v>
      </c>
      <c r="R105" s="126"/>
      <c r="S105" s="134">
        <v>400</v>
      </c>
      <c r="T105" s="128">
        <f t="shared" si="26"/>
        <v>500</v>
      </c>
      <c r="U105" s="125">
        <v>200</v>
      </c>
      <c r="V105" s="126"/>
      <c r="W105" s="134">
        <v>800</v>
      </c>
      <c r="X105" s="128">
        <f t="shared" si="23"/>
        <v>1000</v>
      </c>
      <c r="Y105" s="125">
        <v>600</v>
      </c>
      <c r="Z105" s="126"/>
      <c r="AA105" s="134">
        <v>2400</v>
      </c>
      <c r="AB105" s="129">
        <f t="shared" si="24"/>
        <v>3000</v>
      </c>
      <c r="AC105" s="209">
        <f t="shared" si="27"/>
        <v>5000</v>
      </c>
      <c r="AD105" s="130">
        <v>700</v>
      </c>
      <c r="AE105" s="131"/>
      <c r="AF105" s="135">
        <v>2800</v>
      </c>
      <c r="AG105" s="133">
        <f t="shared" si="28"/>
        <v>3500</v>
      </c>
      <c r="AH105" s="130"/>
      <c r="AI105" s="131"/>
      <c r="AJ105" s="135"/>
      <c r="AK105" s="133">
        <f t="shared" si="29"/>
        <v>0</v>
      </c>
      <c r="AL105" s="133">
        <f t="shared" si="30"/>
        <v>3500</v>
      </c>
      <c r="AM105" s="38"/>
    </row>
    <row r="106" spans="1:39" ht="15" customHeight="1" x14ac:dyDescent="0.25">
      <c r="A106" s="104" t="e">
        <f>+#REF!</f>
        <v>#REF!</v>
      </c>
      <c r="B106" s="103">
        <v>101</v>
      </c>
      <c r="C106" s="196" t="s">
        <v>98</v>
      </c>
      <c r="D106" s="35" t="s">
        <v>75</v>
      </c>
      <c r="E106" s="37" t="s">
        <v>249</v>
      </c>
      <c r="F106" s="36" t="s">
        <v>26</v>
      </c>
      <c r="G106" s="36" t="s">
        <v>36</v>
      </c>
      <c r="I106" s="125">
        <v>20</v>
      </c>
      <c r="J106" s="126"/>
      <c r="K106" s="127">
        <v>80</v>
      </c>
      <c r="L106" s="128">
        <f t="shared" ref="L106:L134" si="31">+I106+J106+K106</f>
        <v>100</v>
      </c>
      <c r="M106" s="125">
        <v>20</v>
      </c>
      <c r="N106" s="126"/>
      <c r="O106" s="134">
        <v>80</v>
      </c>
      <c r="P106" s="128">
        <f t="shared" si="25"/>
        <v>100</v>
      </c>
      <c r="Q106" s="125">
        <v>6.4829999999999997</v>
      </c>
      <c r="R106" s="126"/>
      <c r="S106" s="134">
        <v>25.9</v>
      </c>
      <c r="T106" s="128">
        <f t="shared" si="26"/>
        <v>32.382999999999996</v>
      </c>
      <c r="U106" s="125">
        <v>60</v>
      </c>
      <c r="V106" s="126"/>
      <c r="W106" s="134">
        <v>240</v>
      </c>
      <c r="X106" s="128">
        <f t="shared" si="23"/>
        <v>300</v>
      </c>
      <c r="Y106" s="125">
        <v>400</v>
      </c>
      <c r="Z106" s="126"/>
      <c r="AA106" s="134">
        <v>1600</v>
      </c>
      <c r="AB106" s="129">
        <f t="shared" si="24"/>
        <v>2000</v>
      </c>
      <c r="AC106" s="209">
        <f t="shared" si="27"/>
        <v>2432.3829999999998</v>
      </c>
      <c r="AD106" s="130">
        <v>1800</v>
      </c>
      <c r="AE106" s="131"/>
      <c r="AF106" s="135">
        <v>7200</v>
      </c>
      <c r="AG106" s="133">
        <f t="shared" si="28"/>
        <v>9000</v>
      </c>
      <c r="AH106" s="130">
        <v>1800</v>
      </c>
      <c r="AI106" s="131"/>
      <c r="AJ106" s="135">
        <v>7200</v>
      </c>
      <c r="AK106" s="133">
        <f t="shared" si="29"/>
        <v>9000</v>
      </c>
      <c r="AL106" s="133">
        <f t="shared" si="30"/>
        <v>18000</v>
      </c>
      <c r="AM106" s="38"/>
    </row>
    <row r="107" spans="1:39" ht="15" customHeight="1" x14ac:dyDescent="0.25">
      <c r="A107" s="104" t="e">
        <f>+#REF!</f>
        <v>#REF!</v>
      </c>
      <c r="B107" s="103">
        <v>102</v>
      </c>
      <c r="C107" s="196" t="s">
        <v>157</v>
      </c>
      <c r="D107" s="35" t="s">
        <v>75</v>
      </c>
      <c r="E107" s="48" t="s">
        <v>138</v>
      </c>
      <c r="F107" s="36" t="s">
        <v>39</v>
      </c>
      <c r="G107" s="36" t="s">
        <v>36</v>
      </c>
      <c r="I107" s="125">
        <v>4245.3999999999996</v>
      </c>
      <c r="J107" s="126">
        <v>250</v>
      </c>
      <c r="K107" s="127"/>
      <c r="L107" s="128">
        <f t="shared" si="31"/>
        <v>4495.3999999999996</v>
      </c>
      <c r="M107" s="125"/>
      <c r="N107" s="126"/>
      <c r="O107" s="134"/>
      <c r="P107" s="128">
        <f t="shared" si="25"/>
        <v>0</v>
      </c>
      <c r="Q107" s="125"/>
      <c r="R107" s="126"/>
      <c r="S107" s="134"/>
      <c r="T107" s="128">
        <f t="shared" si="26"/>
        <v>0</v>
      </c>
      <c r="U107" s="125"/>
      <c r="V107" s="126"/>
      <c r="W107" s="134"/>
      <c r="X107" s="128">
        <f t="shared" si="23"/>
        <v>0</v>
      </c>
      <c r="Y107" s="125"/>
      <c r="Z107" s="126"/>
      <c r="AA107" s="134"/>
      <c r="AB107" s="129">
        <f t="shared" si="24"/>
        <v>0</v>
      </c>
      <c r="AC107" s="209">
        <f t="shared" si="27"/>
        <v>0</v>
      </c>
      <c r="AD107" s="130"/>
      <c r="AE107" s="131"/>
      <c r="AF107" s="135"/>
      <c r="AG107" s="133">
        <f t="shared" si="28"/>
        <v>0</v>
      </c>
      <c r="AH107" s="130"/>
      <c r="AI107" s="131"/>
      <c r="AJ107" s="135"/>
      <c r="AK107" s="133">
        <f t="shared" si="29"/>
        <v>0</v>
      </c>
      <c r="AL107" s="133">
        <f t="shared" si="30"/>
        <v>0</v>
      </c>
      <c r="AM107" s="38"/>
    </row>
    <row r="108" spans="1:39" ht="15" customHeight="1" x14ac:dyDescent="0.25">
      <c r="A108" s="104" t="e">
        <f>+#REF!</f>
        <v>#REF!</v>
      </c>
      <c r="B108" s="103">
        <v>103</v>
      </c>
      <c r="C108" s="196" t="s">
        <v>310</v>
      </c>
      <c r="D108" s="35" t="s">
        <v>75</v>
      </c>
      <c r="E108" s="48" t="s">
        <v>140</v>
      </c>
      <c r="F108" s="36" t="s">
        <v>26</v>
      </c>
      <c r="G108" s="36" t="s">
        <v>36</v>
      </c>
      <c r="I108" s="125">
        <v>94.1</v>
      </c>
      <c r="J108" s="126"/>
      <c r="K108" s="127">
        <v>500</v>
      </c>
      <c r="L108" s="128">
        <f t="shared" si="31"/>
        <v>594.1</v>
      </c>
      <c r="M108" s="125"/>
      <c r="N108" s="126"/>
      <c r="O108" s="134">
        <v>500</v>
      </c>
      <c r="P108" s="128">
        <f t="shared" si="25"/>
        <v>500</v>
      </c>
      <c r="Q108" s="125"/>
      <c r="R108" s="126"/>
      <c r="S108" s="134"/>
      <c r="T108" s="128">
        <f t="shared" si="26"/>
        <v>0</v>
      </c>
      <c r="U108" s="125">
        <v>400</v>
      </c>
      <c r="V108" s="126"/>
      <c r="W108" s="134">
        <v>1600</v>
      </c>
      <c r="X108" s="128">
        <f t="shared" si="23"/>
        <v>2000</v>
      </c>
      <c r="Y108" s="125">
        <v>1800</v>
      </c>
      <c r="Z108" s="126"/>
      <c r="AA108" s="134">
        <v>7200</v>
      </c>
      <c r="AB108" s="129">
        <f t="shared" si="24"/>
        <v>9000</v>
      </c>
      <c r="AC108" s="209">
        <f t="shared" si="27"/>
        <v>11500</v>
      </c>
      <c r="AD108" s="130">
        <v>441.4</v>
      </c>
      <c r="AE108" s="131"/>
      <c r="AF108" s="135">
        <v>1765.7</v>
      </c>
      <c r="AG108" s="133">
        <f t="shared" si="28"/>
        <v>2207.1</v>
      </c>
      <c r="AH108" s="130"/>
      <c r="AI108" s="131"/>
      <c r="AJ108" s="135"/>
      <c r="AK108" s="133">
        <f t="shared" si="29"/>
        <v>0</v>
      </c>
      <c r="AL108" s="133">
        <f t="shared" si="30"/>
        <v>2207.1</v>
      </c>
      <c r="AM108" s="38"/>
    </row>
    <row r="109" spans="1:39" ht="15" customHeight="1" x14ac:dyDescent="0.25">
      <c r="A109" s="104" t="e">
        <f>+#REF!</f>
        <v>#REF!</v>
      </c>
      <c r="B109" s="103">
        <v>104</v>
      </c>
      <c r="C109" s="196" t="s">
        <v>127</v>
      </c>
      <c r="D109" s="35" t="s">
        <v>75</v>
      </c>
      <c r="E109" s="48" t="s">
        <v>142</v>
      </c>
      <c r="F109" s="36" t="s">
        <v>33</v>
      </c>
      <c r="G109" s="36" t="s">
        <v>36</v>
      </c>
      <c r="I109" s="125"/>
      <c r="J109" s="126"/>
      <c r="K109" s="127"/>
      <c r="L109" s="128">
        <f t="shared" si="31"/>
        <v>0</v>
      </c>
      <c r="M109" s="125"/>
      <c r="N109" s="126"/>
      <c r="O109" s="134"/>
      <c r="P109" s="128">
        <f t="shared" si="25"/>
        <v>0</v>
      </c>
      <c r="Q109" s="125"/>
      <c r="R109" s="126"/>
      <c r="S109" s="134"/>
      <c r="T109" s="128">
        <f t="shared" si="26"/>
        <v>0</v>
      </c>
      <c r="U109" s="125">
        <v>50</v>
      </c>
      <c r="V109" s="126"/>
      <c r="W109" s="134">
        <v>200</v>
      </c>
      <c r="X109" s="128">
        <f t="shared" si="23"/>
        <v>250</v>
      </c>
      <c r="Y109" s="125">
        <v>50</v>
      </c>
      <c r="Z109" s="126"/>
      <c r="AA109" s="134">
        <v>200</v>
      </c>
      <c r="AB109" s="129">
        <f t="shared" si="24"/>
        <v>250</v>
      </c>
      <c r="AC109" s="209">
        <f t="shared" si="27"/>
        <v>500</v>
      </c>
      <c r="AD109" s="130">
        <v>30</v>
      </c>
      <c r="AE109" s="131"/>
      <c r="AF109" s="135">
        <v>120</v>
      </c>
      <c r="AG109" s="133">
        <f t="shared" si="28"/>
        <v>150</v>
      </c>
      <c r="AH109" s="130">
        <v>170</v>
      </c>
      <c r="AI109" s="131"/>
      <c r="AJ109" s="135">
        <v>680</v>
      </c>
      <c r="AK109" s="133">
        <f t="shared" si="29"/>
        <v>850</v>
      </c>
      <c r="AL109" s="133">
        <f t="shared" si="30"/>
        <v>1000</v>
      </c>
      <c r="AM109" s="38"/>
    </row>
    <row r="110" spans="1:39" ht="15" customHeight="1" x14ac:dyDescent="0.25">
      <c r="A110" s="104" t="e">
        <f>+#REF!</f>
        <v>#REF!</v>
      </c>
      <c r="B110" s="103">
        <v>105</v>
      </c>
      <c r="C110" s="196" t="s">
        <v>298</v>
      </c>
      <c r="D110" s="35" t="s">
        <v>75</v>
      </c>
      <c r="E110" s="49" t="s">
        <v>143</v>
      </c>
      <c r="F110" s="36" t="s">
        <v>33</v>
      </c>
      <c r="G110" s="36" t="s">
        <v>25</v>
      </c>
      <c r="I110" s="125"/>
      <c r="J110" s="126"/>
      <c r="K110" s="127"/>
      <c r="L110" s="128">
        <f>+I110+J110+K110</f>
        <v>0</v>
      </c>
      <c r="M110" s="125"/>
      <c r="N110" s="126"/>
      <c r="O110" s="134"/>
      <c r="P110" s="128">
        <f t="shared" si="25"/>
        <v>0</v>
      </c>
      <c r="Q110" s="125"/>
      <c r="R110" s="126"/>
      <c r="S110" s="134"/>
      <c r="T110" s="128">
        <f t="shared" si="26"/>
        <v>0</v>
      </c>
      <c r="U110" s="125"/>
      <c r="V110" s="126"/>
      <c r="W110" s="134"/>
      <c r="X110" s="128">
        <f t="shared" si="23"/>
        <v>0</v>
      </c>
      <c r="Y110" s="125"/>
      <c r="Z110" s="126"/>
      <c r="AA110" s="134"/>
      <c r="AB110" s="129">
        <f t="shared" si="24"/>
        <v>0</v>
      </c>
      <c r="AC110" s="209">
        <f>+AB110+X110+P110+T110</f>
        <v>0</v>
      </c>
      <c r="AD110" s="130">
        <v>120</v>
      </c>
      <c r="AE110" s="131"/>
      <c r="AF110" s="135">
        <v>480</v>
      </c>
      <c r="AG110" s="133">
        <f>+AD110+AE110+AF110</f>
        <v>600</v>
      </c>
      <c r="AH110" s="130">
        <v>120</v>
      </c>
      <c r="AI110" s="131"/>
      <c r="AJ110" s="135">
        <v>480</v>
      </c>
      <c r="AK110" s="133">
        <f>+AH110+AI110+AJ110</f>
        <v>600</v>
      </c>
      <c r="AL110" s="133">
        <f>+AK110+AG110</f>
        <v>1200</v>
      </c>
      <c r="AM110" s="38"/>
    </row>
    <row r="111" spans="1:39" ht="15" customHeight="1" x14ac:dyDescent="0.25">
      <c r="A111" s="104" t="e">
        <f>+#REF!</f>
        <v>#REF!</v>
      </c>
      <c r="B111" s="103">
        <v>106</v>
      </c>
      <c r="C111" s="196" t="s">
        <v>104</v>
      </c>
      <c r="D111" s="35" t="s">
        <v>75</v>
      </c>
      <c r="E111" s="48" t="s">
        <v>209</v>
      </c>
      <c r="F111" s="36" t="s">
        <v>26</v>
      </c>
      <c r="G111" s="36" t="s">
        <v>57</v>
      </c>
      <c r="I111" s="125"/>
      <c r="J111" s="126"/>
      <c r="K111" s="127">
        <v>1597.4780000000001</v>
      </c>
      <c r="L111" s="128">
        <f t="shared" si="31"/>
        <v>1597.4780000000001</v>
      </c>
      <c r="M111" s="125"/>
      <c r="N111" s="126"/>
      <c r="O111" s="134"/>
      <c r="P111" s="128">
        <f t="shared" si="25"/>
        <v>0</v>
      </c>
      <c r="Q111" s="125"/>
      <c r="R111" s="126"/>
      <c r="S111" s="134"/>
      <c r="T111" s="128">
        <f t="shared" si="26"/>
        <v>0</v>
      </c>
      <c r="U111" s="125"/>
      <c r="V111" s="126"/>
      <c r="W111" s="134"/>
      <c r="X111" s="128">
        <f t="shared" si="23"/>
        <v>0</v>
      </c>
      <c r="Y111" s="125"/>
      <c r="Z111" s="126"/>
      <c r="AA111" s="134"/>
      <c r="AB111" s="129">
        <f t="shared" si="24"/>
        <v>0</v>
      </c>
      <c r="AC111" s="209">
        <f t="shared" si="27"/>
        <v>0</v>
      </c>
      <c r="AD111" s="130"/>
      <c r="AE111" s="131"/>
      <c r="AF111" s="135"/>
      <c r="AG111" s="133">
        <f t="shared" si="28"/>
        <v>0</v>
      </c>
      <c r="AH111" s="130"/>
      <c r="AI111" s="131"/>
      <c r="AJ111" s="135"/>
      <c r="AK111" s="133">
        <f t="shared" si="29"/>
        <v>0</v>
      </c>
      <c r="AL111" s="133">
        <f t="shared" si="30"/>
        <v>0</v>
      </c>
      <c r="AM111" s="38"/>
    </row>
    <row r="112" spans="1:39" ht="15" customHeight="1" x14ac:dyDescent="0.25">
      <c r="A112" s="104" t="e">
        <f>+#REF!</f>
        <v>#REF!</v>
      </c>
      <c r="B112" s="103">
        <v>107</v>
      </c>
      <c r="C112" s="196" t="s">
        <v>301</v>
      </c>
      <c r="D112" s="35" t="s">
        <v>75</v>
      </c>
      <c r="E112" s="48" t="s">
        <v>200</v>
      </c>
      <c r="F112" s="36" t="s">
        <v>39</v>
      </c>
      <c r="G112" s="36" t="s">
        <v>38</v>
      </c>
      <c r="I112" s="125">
        <v>4620.2079999999996</v>
      </c>
      <c r="J112" s="126">
        <v>3696</v>
      </c>
      <c r="K112" s="127">
        <v>18064.830999999998</v>
      </c>
      <c r="L112" s="128">
        <f t="shared" si="31"/>
        <v>26381.038999999997</v>
      </c>
      <c r="M112" s="125">
        <v>2686.7539999999999</v>
      </c>
      <c r="N112" s="126">
        <v>3304</v>
      </c>
      <c r="O112" s="134">
        <v>9372.2919999999995</v>
      </c>
      <c r="P112" s="128">
        <f t="shared" si="25"/>
        <v>15363.045999999998</v>
      </c>
      <c r="Q112" s="125"/>
      <c r="R112" s="126"/>
      <c r="S112" s="134"/>
      <c r="T112" s="128">
        <f t="shared" si="26"/>
        <v>0</v>
      </c>
      <c r="U112" s="125"/>
      <c r="V112" s="126"/>
      <c r="W112" s="134"/>
      <c r="X112" s="128">
        <f t="shared" si="23"/>
        <v>0</v>
      </c>
      <c r="Y112" s="125"/>
      <c r="Z112" s="126"/>
      <c r="AA112" s="134"/>
      <c r="AB112" s="129">
        <f t="shared" si="24"/>
        <v>0</v>
      </c>
      <c r="AC112" s="209">
        <f t="shared" si="27"/>
        <v>15363.045999999998</v>
      </c>
      <c r="AD112" s="130"/>
      <c r="AE112" s="131"/>
      <c r="AF112" s="135"/>
      <c r="AG112" s="133">
        <f t="shared" si="28"/>
        <v>0</v>
      </c>
      <c r="AH112" s="130"/>
      <c r="AI112" s="131"/>
      <c r="AJ112" s="135"/>
      <c r="AK112" s="133">
        <f t="shared" si="29"/>
        <v>0</v>
      </c>
      <c r="AL112" s="133">
        <f t="shared" si="30"/>
        <v>0</v>
      </c>
      <c r="AM112" s="38"/>
    </row>
    <row r="113" spans="1:39" ht="15" customHeight="1" x14ac:dyDescent="0.25">
      <c r="A113" s="104" t="e">
        <f>+#REF!</f>
        <v>#REF!</v>
      </c>
      <c r="B113" s="103">
        <v>108</v>
      </c>
      <c r="C113" s="196" t="s">
        <v>312</v>
      </c>
      <c r="D113" s="35" t="s">
        <v>75</v>
      </c>
      <c r="E113" s="48" t="s">
        <v>145</v>
      </c>
      <c r="F113" s="36" t="s">
        <v>39</v>
      </c>
      <c r="G113" s="36" t="s">
        <v>38</v>
      </c>
      <c r="I113" s="125">
        <v>446.34</v>
      </c>
      <c r="J113" s="126"/>
      <c r="K113" s="127">
        <v>1785.36</v>
      </c>
      <c r="L113" s="128">
        <f>+I113+J113+K113</f>
        <v>2231.6999999999998</v>
      </c>
      <c r="M113" s="125">
        <v>367.82</v>
      </c>
      <c r="N113" s="126"/>
      <c r="O113" s="134">
        <v>1471.28</v>
      </c>
      <c r="P113" s="128">
        <f t="shared" si="25"/>
        <v>1839.1</v>
      </c>
      <c r="Q113" s="125"/>
      <c r="R113" s="126"/>
      <c r="S113" s="134">
        <v>1466.9</v>
      </c>
      <c r="T113" s="128">
        <f t="shared" si="26"/>
        <v>1466.9</v>
      </c>
      <c r="U113" s="125"/>
      <c r="V113" s="126"/>
      <c r="W113" s="134"/>
      <c r="X113" s="128">
        <f t="shared" si="23"/>
        <v>0</v>
      </c>
      <c r="Y113" s="125">
        <v>310.83999999999997</v>
      </c>
      <c r="Z113" s="126"/>
      <c r="AA113" s="134">
        <v>1243.3599999999999</v>
      </c>
      <c r="AB113" s="129">
        <f t="shared" si="24"/>
        <v>1554.1999999999998</v>
      </c>
      <c r="AC113" s="209">
        <f t="shared" si="27"/>
        <v>4860.2</v>
      </c>
      <c r="AD113" s="130"/>
      <c r="AE113" s="131"/>
      <c r="AF113" s="135"/>
      <c r="AG113" s="133">
        <f t="shared" si="28"/>
        <v>0</v>
      </c>
      <c r="AH113" s="130"/>
      <c r="AI113" s="131"/>
      <c r="AJ113" s="135"/>
      <c r="AK113" s="133">
        <f t="shared" si="29"/>
        <v>0</v>
      </c>
      <c r="AL113" s="133">
        <f t="shared" si="30"/>
        <v>0</v>
      </c>
      <c r="AM113" s="38"/>
    </row>
    <row r="114" spans="1:39" ht="15" customHeight="1" x14ac:dyDescent="0.25">
      <c r="A114" s="104" t="e">
        <f>+#REF!</f>
        <v>#REF!</v>
      </c>
      <c r="B114" s="103">
        <v>109</v>
      </c>
      <c r="C114" s="196" t="s">
        <v>320</v>
      </c>
      <c r="D114" s="35" t="s">
        <v>75</v>
      </c>
      <c r="E114" s="48" t="s">
        <v>227</v>
      </c>
      <c r="F114" s="36" t="s">
        <v>33</v>
      </c>
      <c r="G114" s="36" t="s">
        <v>38</v>
      </c>
      <c r="I114" s="125">
        <v>352.82499999999999</v>
      </c>
      <c r="J114" s="126"/>
      <c r="K114" s="127">
        <v>13301.6</v>
      </c>
      <c r="L114" s="128">
        <f t="shared" ref="L114:L116" si="32">+I114+J114+K114</f>
        <v>13654.425000000001</v>
      </c>
      <c r="M114" s="125">
        <v>3017.1350000000002</v>
      </c>
      <c r="N114" s="126"/>
      <c r="O114" s="134">
        <v>11763.34</v>
      </c>
      <c r="P114" s="128">
        <f t="shared" si="25"/>
        <v>14780.475</v>
      </c>
      <c r="Q114" s="125">
        <v>87.8</v>
      </c>
      <c r="R114" s="126"/>
      <c r="S114" s="134"/>
      <c r="T114" s="128">
        <f t="shared" si="26"/>
        <v>87.8</v>
      </c>
      <c r="U114" s="125">
        <v>993.86</v>
      </c>
      <c r="V114" s="126"/>
      <c r="W114" s="134">
        <v>3110.64</v>
      </c>
      <c r="X114" s="128">
        <f t="shared" si="23"/>
        <v>4104.5</v>
      </c>
      <c r="Y114" s="125">
        <v>253.44</v>
      </c>
      <c r="Z114" s="126"/>
      <c r="AA114" s="134">
        <v>567.76</v>
      </c>
      <c r="AB114" s="129">
        <f t="shared" si="24"/>
        <v>821.2</v>
      </c>
      <c r="AC114" s="209">
        <f t="shared" si="27"/>
        <v>19793.974999999999</v>
      </c>
      <c r="AD114" s="130">
        <v>1843.74</v>
      </c>
      <c r="AE114" s="131"/>
      <c r="AF114" s="135">
        <v>7374.9</v>
      </c>
      <c r="AG114" s="133">
        <f t="shared" si="28"/>
        <v>9218.64</v>
      </c>
      <c r="AH114" s="130">
        <v>2800</v>
      </c>
      <c r="AI114" s="131"/>
      <c r="AJ114" s="135">
        <v>11200</v>
      </c>
      <c r="AK114" s="133">
        <f t="shared" si="29"/>
        <v>14000</v>
      </c>
      <c r="AL114" s="133">
        <f t="shared" si="30"/>
        <v>23218.639999999999</v>
      </c>
      <c r="AM114" s="38"/>
    </row>
    <row r="115" spans="1:39" ht="15" customHeight="1" x14ac:dyDescent="0.25">
      <c r="A115" s="104" t="e">
        <f>+#REF!</f>
        <v>#REF!</v>
      </c>
      <c r="B115" s="103">
        <v>110</v>
      </c>
      <c r="C115" s="196" t="s">
        <v>312</v>
      </c>
      <c r="D115" s="35" t="s">
        <v>75</v>
      </c>
      <c r="E115" s="48" t="s">
        <v>146</v>
      </c>
      <c r="F115" s="36" t="s">
        <v>39</v>
      </c>
      <c r="G115" s="36" t="s">
        <v>38</v>
      </c>
      <c r="I115" s="125"/>
      <c r="J115" s="126"/>
      <c r="K115" s="127"/>
      <c r="L115" s="128">
        <f t="shared" si="32"/>
        <v>0</v>
      </c>
      <c r="M115" s="125">
        <v>222.82</v>
      </c>
      <c r="N115" s="126"/>
      <c r="O115" s="134">
        <v>891.28</v>
      </c>
      <c r="P115" s="128">
        <f t="shared" si="25"/>
        <v>1114.0999999999999</v>
      </c>
      <c r="Q115" s="125">
        <v>204</v>
      </c>
      <c r="R115" s="126"/>
      <c r="S115" s="134">
        <v>816</v>
      </c>
      <c r="T115" s="128">
        <f t="shared" si="26"/>
        <v>1020</v>
      </c>
      <c r="U115" s="125">
        <v>210.12</v>
      </c>
      <c r="V115" s="126"/>
      <c r="W115" s="134">
        <v>840.8</v>
      </c>
      <c r="X115" s="128">
        <f t="shared" si="23"/>
        <v>1050.92</v>
      </c>
      <c r="Y115" s="125">
        <v>216.42</v>
      </c>
      <c r="Z115" s="126"/>
      <c r="AA115" s="134">
        <v>865.68</v>
      </c>
      <c r="AB115" s="129">
        <f t="shared" si="24"/>
        <v>1082.0999999999999</v>
      </c>
      <c r="AC115" s="209">
        <f t="shared" si="27"/>
        <v>4267.12</v>
      </c>
      <c r="AD115" s="130">
        <v>222.92</v>
      </c>
      <c r="AE115" s="131"/>
      <c r="AF115" s="135">
        <v>891.68</v>
      </c>
      <c r="AG115" s="133">
        <f t="shared" si="28"/>
        <v>1114.5999999999999</v>
      </c>
      <c r="AH115" s="130"/>
      <c r="AI115" s="131"/>
      <c r="AJ115" s="135"/>
      <c r="AK115" s="133">
        <f t="shared" si="29"/>
        <v>0</v>
      </c>
      <c r="AL115" s="133">
        <f t="shared" si="30"/>
        <v>1114.5999999999999</v>
      </c>
      <c r="AM115" s="38"/>
    </row>
    <row r="116" spans="1:39" ht="15" customHeight="1" x14ac:dyDescent="0.25">
      <c r="A116" s="104" t="e">
        <f>+#REF!</f>
        <v>#REF!</v>
      </c>
      <c r="B116" s="103">
        <v>111</v>
      </c>
      <c r="C116" s="196" t="s">
        <v>320</v>
      </c>
      <c r="D116" s="35" t="s">
        <v>75</v>
      </c>
      <c r="E116" s="48" t="s">
        <v>228</v>
      </c>
      <c r="F116" s="36" t="s">
        <v>33</v>
      </c>
      <c r="G116" s="36" t="s">
        <v>38</v>
      </c>
      <c r="I116" s="125">
        <v>672.16</v>
      </c>
      <c r="J116" s="126"/>
      <c r="K116" s="127">
        <v>2688.64</v>
      </c>
      <c r="L116" s="128">
        <f t="shared" si="32"/>
        <v>3360.7999999999997</v>
      </c>
      <c r="M116" s="125"/>
      <c r="N116" s="126"/>
      <c r="O116" s="134">
        <v>649.1</v>
      </c>
      <c r="P116" s="128">
        <f t="shared" si="25"/>
        <v>649.1</v>
      </c>
      <c r="Q116" s="125"/>
      <c r="R116" s="126"/>
      <c r="S116" s="134">
        <v>6016.8</v>
      </c>
      <c r="T116" s="128">
        <f t="shared" si="26"/>
        <v>6016.8</v>
      </c>
      <c r="U116" s="125">
        <v>1010.12</v>
      </c>
      <c r="V116" s="126"/>
      <c r="W116" s="134">
        <v>4040.48</v>
      </c>
      <c r="X116" s="128">
        <f t="shared" si="23"/>
        <v>5050.6000000000004</v>
      </c>
      <c r="Y116" s="125">
        <v>638.32000000000005</v>
      </c>
      <c r="Z116" s="126"/>
      <c r="AA116" s="134">
        <v>2553.2800000000002</v>
      </c>
      <c r="AB116" s="129">
        <f t="shared" si="24"/>
        <v>3191.6000000000004</v>
      </c>
      <c r="AC116" s="209">
        <f t="shared" si="27"/>
        <v>14908.100000000002</v>
      </c>
      <c r="AD116" s="130">
        <v>1753.24</v>
      </c>
      <c r="AE116" s="131"/>
      <c r="AF116" s="135">
        <v>7012.96</v>
      </c>
      <c r="AG116" s="133">
        <f t="shared" si="28"/>
        <v>8766.2000000000007</v>
      </c>
      <c r="AH116" s="130"/>
      <c r="AI116" s="131"/>
      <c r="AJ116" s="135"/>
      <c r="AK116" s="133">
        <f t="shared" si="29"/>
        <v>0</v>
      </c>
      <c r="AL116" s="133">
        <f t="shared" si="30"/>
        <v>8766.2000000000007</v>
      </c>
      <c r="AM116" s="38"/>
    </row>
    <row r="117" spans="1:39" ht="15" customHeight="1" x14ac:dyDescent="0.25">
      <c r="A117" s="104" t="e">
        <f>+#REF!</f>
        <v>#REF!</v>
      </c>
      <c r="B117" s="103">
        <v>112</v>
      </c>
      <c r="C117" s="196" t="s">
        <v>320</v>
      </c>
      <c r="D117" s="35" t="s">
        <v>75</v>
      </c>
      <c r="E117" s="48" t="s">
        <v>229</v>
      </c>
      <c r="F117" s="36" t="s">
        <v>33</v>
      </c>
      <c r="G117" s="36" t="s">
        <v>38</v>
      </c>
      <c r="I117" s="125"/>
      <c r="J117" s="126">
        <v>1300</v>
      </c>
      <c r="K117" s="127">
        <v>5200</v>
      </c>
      <c r="L117" s="128">
        <f t="shared" si="31"/>
        <v>6500</v>
      </c>
      <c r="M117" s="125"/>
      <c r="N117" s="126"/>
      <c r="O117" s="134">
        <v>6500</v>
      </c>
      <c r="P117" s="128">
        <f t="shared" si="25"/>
        <v>6500</v>
      </c>
      <c r="Q117" s="125"/>
      <c r="R117" s="126"/>
      <c r="S117" s="134">
        <v>6500</v>
      </c>
      <c r="T117" s="128">
        <f t="shared" si="26"/>
        <v>6500</v>
      </c>
      <c r="U117" s="125"/>
      <c r="V117" s="126">
        <v>1300</v>
      </c>
      <c r="W117" s="134">
        <v>5200</v>
      </c>
      <c r="X117" s="128">
        <f t="shared" si="23"/>
        <v>6500</v>
      </c>
      <c r="Y117" s="125"/>
      <c r="Z117" s="126">
        <v>1300</v>
      </c>
      <c r="AA117" s="134">
        <v>5200</v>
      </c>
      <c r="AB117" s="129">
        <f t="shared" si="24"/>
        <v>6500</v>
      </c>
      <c r="AC117" s="209">
        <f t="shared" si="27"/>
        <v>26000</v>
      </c>
      <c r="AD117" s="130"/>
      <c r="AE117" s="131">
        <v>1300</v>
      </c>
      <c r="AF117" s="135">
        <v>5200</v>
      </c>
      <c r="AG117" s="133">
        <f t="shared" si="28"/>
        <v>6500</v>
      </c>
      <c r="AH117" s="130"/>
      <c r="AI117" s="131">
        <v>1300</v>
      </c>
      <c r="AJ117" s="135">
        <v>5200</v>
      </c>
      <c r="AK117" s="133">
        <f t="shared" si="29"/>
        <v>6500</v>
      </c>
      <c r="AL117" s="133">
        <f t="shared" si="30"/>
        <v>13000</v>
      </c>
      <c r="AM117" s="38"/>
    </row>
    <row r="118" spans="1:39" ht="15" customHeight="1" x14ac:dyDescent="0.25">
      <c r="A118" s="104" t="e">
        <f>+#REF!</f>
        <v>#REF!</v>
      </c>
      <c r="B118" s="103">
        <v>113</v>
      </c>
      <c r="C118" s="196" t="s">
        <v>306</v>
      </c>
      <c r="D118" s="35" t="s">
        <v>75</v>
      </c>
      <c r="E118" s="48" t="s">
        <v>266</v>
      </c>
      <c r="F118" s="36" t="s">
        <v>39</v>
      </c>
      <c r="G118" s="36" t="s">
        <v>36</v>
      </c>
      <c r="I118" s="125"/>
      <c r="J118" s="126"/>
      <c r="K118" s="127"/>
      <c r="L118" s="128">
        <f t="shared" si="31"/>
        <v>0</v>
      </c>
      <c r="M118" s="125"/>
      <c r="N118" s="126"/>
      <c r="O118" s="134"/>
      <c r="P118" s="128">
        <f t="shared" si="25"/>
        <v>0</v>
      </c>
      <c r="Q118" s="125"/>
      <c r="R118" s="126"/>
      <c r="S118" s="134"/>
      <c r="T118" s="128">
        <f t="shared" si="26"/>
        <v>0</v>
      </c>
      <c r="U118" s="125">
        <v>500</v>
      </c>
      <c r="V118" s="126"/>
      <c r="W118" s="134"/>
      <c r="X118" s="128">
        <f t="shared" si="23"/>
        <v>500</v>
      </c>
      <c r="Y118" s="125">
        <v>500</v>
      </c>
      <c r="Z118" s="126"/>
      <c r="AA118" s="134"/>
      <c r="AB118" s="129">
        <f t="shared" si="24"/>
        <v>500</v>
      </c>
      <c r="AC118" s="209">
        <f t="shared" si="27"/>
        <v>1000</v>
      </c>
      <c r="AD118" s="130">
        <v>400</v>
      </c>
      <c r="AE118" s="131"/>
      <c r="AF118" s="135">
        <v>1600</v>
      </c>
      <c r="AG118" s="133">
        <f t="shared" si="28"/>
        <v>2000</v>
      </c>
      <c r="AH118" s="130">
        <v>400</v>
      </c>
      <c r="AI118" s="131"/>
      <c r="AJ118" s="135">
        <v>1600</v>
      </c>
      <c r="AK118" s="133">
        <f t="shared" si="29"/>
        <v>2000</v>
      </c>
      <c r="AL118" s="133">
        <f t="shared" si="30"/>
        <v>4000</v>
      </c>
      <c r="AM118" s="38"/>
    </row>
    <row r="119" spans="1:39" ht="15" customHeight="1" x14ac:dyDescent="0.25">
      <c r="A119" s="104"/>
      <c r="B119" s="103">
        <v>114</v>
      </c>
      <c r="C119" s="196" t="s">
        <v>305</v>
      </c>
      <c r="D119" s="35" t="s">
        <v>75</v>
      </c>
      <c r="E119" s="50" t="s">
        <v>275</v>
      </c>
      <c r="F119" s="36" t="s">
        <v>26</v>
      </c>
      <c r="G119" s="36" t="s">
        <v>36</v>
      </c>
      <c r="I119" s="125"/>
      <c r="J119" s="126"/>
      <c r="K119" s="127"/>
      <c r="L119" s="128">
        <f t="shared" si="31"/>
        <v>0</v>
      </c>
      <c r="M119" s="125"/>
      <c r="N119" s="126"/>
      <c r="O119" s="134"/>
      <c r="P119" s="128">
        <f t="shared" si="25"/>
        <v>0</v>
      </c>
      <c r="Q119" s="125"/>
      <c r="R119" s="126"/>
      <c r="S119" s="134"/>
      <c r="T119" s="128">
        <f t="shared" si="26"/>
        <v>0</v>
      </c>
      <c r="U119" s="125"/>
      <c r="V119" s="126"/>
      <c r="W119" s="134"/>
      <c r="X119" s="128">
        <f t="shared" si="23"/>
        <v>0</v>
      </c>
      <c r="Y119" s="125">
        <v>80</v>
      </c>
      <c r="Z119" s="126"/>
      <c r="AA119" s="134">
        <v>320</v>
      </c>
      <c r="AB119" s="129">
        <f t="shared" si="24"/>
        <v>400</v>
      </c>
      <c r="AC119" s="209">
        <f t="shared" si="27"/>
        <v>400</v>
      </c>
      <c r="AD119" s="130">
        <v>120</v>
      </c>
      <c r="AE119" s="131"/>
      <c r="AF119" s="135">
        <v>480</v>
      </c>
      <c r="AG119" s="133">
        <f t="shared" si="28"/>
        <v>600</v>
      </c>
      <c r="AH119" s="130">
        <v>100</v>
      </c>
      <c r="AI119" s="131"/>
      <c r="AJ119" s="135">
        <v>400</v>
      </c>
      <c r="AK119" s="133">
        <f t="shared" si="29"/>
        <v>500</v>
      </c>
      <c r="AL119" s="133">
        <f t="shared" si="30"/>
        <v>1100</v>
      </c>
      <c r="AM119" s="38"/>
    </row>
    <row r="120" spans="1:39" ht="15" customHeight="1" x14ac:dyDescent="0.25">
      <c r="A120" s="104" t="e">
        <f>+#REF!</f>
        <v>#REF!</v>
      </c>
      <c r="B120" s="103">
        <v>115</v>
      </c>
      <c r="C120" s="196" t="s">
        <v>114</v>
      </c>
      <c r="D120" s="35" t="s">
        <v>75</v>
      </c>
      <c r="E120" s="48" t="s">
        <v>289</v>
      </c>
      <c r="F120" s="36" t="s">
        <v>26</v>
      </c>
      <c r="G120" s="36" t="s">
        <v>36</v>
      </c>
      <c r="I120" s="125">
        <v>95</v>
      </c>
      <c r="J120" s="126"/>
      <c r="K120" s="127">
        <v>380</v>
      </c>
      <c r="L120" s="128">
        <f t="shared" si="31"/>
        <v>475</v>
      </c>
      <c r="M120" s="125"/>
      <c r="N120" s="126"/>
      <c r="O120" s="134"/>
      <c r="P120" s="128">
        <f t="shared" si="25"/>
        <v>0</v>
      </c>
      <c r="Q120" s="125"/>
      <c r="R120" s="126"/>
      <c r="S120" s="134"/>
      <c r="T120" s="128">
        <f t="shared" si="26"/>
        <v>0</v>
      </c>
      <c r="U120" s="125"/>
      <c r="V120" s="126"/>
      <c r="W120" s="134"/>
      <c r="X120" s="128">
        <f t="shared" si="23"/>
        <v>0</v>
      </c>
      <c r="Y120" s="125">
        <v>30</v>
      </c>
      <c r="Z120" s="126"/>
      <c r="AA120" s="134">
        <v>120</v>
      </c>
      <c r="AB120" s="129">
        <f t="shared" si="24"/>
        <v>150</v>
      </c>
      <c r="AC120" s="209">
        <f t="shared" si="27"/>
        <v>150</v>
      </c>
      <c r="AD120" s="130">
        <v>30</v>
      </c>
      <c r="AE120" s="131"/>
      <c r="AF120" s="135">
        <v>120</v>
      </c>
      <c r="AG120" s="133">
        <f t="shared" si="28"/>
        <v>150</v>
      </c>
      <c r="AH120" s="130">
        <v>30</v>
      </c>
      <c r="AI120" s="131"/>
      <c r="AJ120" s="135">
        <v>120</v>
      </c>
      <c r="AK120" s="133">
        <f t="shared" si="29"/>
        <v>150</v>
      </c>
      <c r="AL120" s="133">
        <f t="shared" ref="AL120:AL134" si="33">+AK120+AG120</f>
        <v>300</v>
      </c>
      <c r="AM120" s="38"/>
    </row>
    <row r="121" spans="1:39" ht="15" customHeight="1" x14ac:dyDescent="0.25">
      <c r="A121" s="104" t="e">
        <f>+#REF!</f>
        <v>#REF!</v>
      </c>
      <c r="B121" s="103">
        <v>116</v>
      </c>
      <c r="C121" s="196" t="s">
        <v>304</v>
      </c>
      <c r="D121" s="35" t="s">
        <v>75</v>
      </c>
      <c r="E121" s="48" t="s">
        <v>148</v>
      </c>
      <c r="F121" s="36" t="s">
        <v>39</v>
      </c>
      <c r="G121" s="36" t="s">
        <v>25</v>
      </c>
      <c r="I121" s="125">
        <v>8386.009</v>
      </c>
      <c r="J121" s="126">
        <v>20000</v>
      </c>
      <c r="K121" s="127">
        <v>10197.638000000001</v>
      </c>
      <c r="L121" s="128">
        <f t="shared" si="31"/>
        <v>38583.646999999997</v>
      </c>
      <c r="M121" s="125">
        <v>6925</v>
      </c>
      <c r="N121" s="126">
        <v>136105</v>
      </c>
      <c r="O121" s="134">
        <v>11820.338</v>
      </c>
      <c r="P121" s="128">
        <f t="shared" si="25"/>
        <v>154850.33799999999</v>
      </c>
      <c r="Q121" s="125">
        <v>4421.7650000000003</v>
      </c>
      <c r="R121" s="126">
        <v>139504</v>
      </c>
      <c r="S121" s="134">
        <v>10986.288</v>
      </c>
      <c r="T121" s="128">
        <f t="shared" si="26"/>
        <v>154912.05300000001</v>
      </c>
      <c r="U121" s="125">
        <v>11000</v>
      </c>
      <c r="V121" s="126">
        <v>73190</v>
      </c>
      <c r="W121" s="134">
        <v>10993.888000000001</v>
      </c>
      <c r="X121" s="128">
        <f t="shared" si="23"/>
        <v>95183.888000000006</v>
      </c>
      <c r="Y121" s="125">
        <v>2000</v>
      </c>
      <c r="Z121" s="126">
        <v>56065.5</v>
      </c>
      <c r="AA121" s="134">
        <v>10988.838</v>
      </c>
      <c r="AB121" s="129">
        <f t="shared" si="24"/>
        <v>69054.338000000003</v>
      </c>
      <c r="AC121" s="209">
        <f t="shared" si="27"/>
        <v>474000.61700000003</v>
      </c>
      <c r="AD121" s="130"/>
      <c r="AE121" s="131">
        <v>56065.5</v>
      </c>
      <c r="AF121" s="135">
        <v>10982.487999999999</v>
      </c>
      <c r="AG121" s="133">
        <f t="shared" si="28"/>
        <v>67047.987999999998</v>
      </c>
      <c r="AH121" s="130"/>
      <c r="AI121" s="131"/>
      <c r="AJ121" s="135">
        <v>10988.263000000001</v>
      </c>
      <c r="AK121" s="133">
        <f t="shared" si="29"/>
        <v>10988.263000000001</v>
      </c>
      <c r="AL121" s="133">
        <f t="shared" si="33"/>
        <v>78036.251000000004</v>
      </c>
      <c r="AM121" s="38"/>
    </row>
    <row r="122" spans="1:39" ht="15" customHeight="1" x14ac:dyDescent="0.25">
      <c r="A122" s="104" t="e">
        <f>+#REF!</f>
        <v>#REF!</v>
      </c>
      <c r="B122" s="103">
        <v>117</v>
      </c>
      <c r="C122" s="196" t="s">
        <v>319</v>
      </c>
      <c r="D122" s="35" t="s">
        <v>75</v>
      </c>
      <c r="E122" s="48" t="s">
        <v>230</v>
      </c>
      <c r="F122" s="36" t="s">
        <v>26</v>
      </c>
      <c r="G122" s="36" t="s">
        <v>36</v>
      </c>
      <c r="I122" s="125"/>
      <c r="J122" s="126"/>
      <c r="K122" s="127"/>
      <c r="L122" s="128">
        <f t="shared" si="31"/>
        <v>0</v>
      </c>
      <c r="M122" s="125"/>
      <c r="N122" s="126"/>
      <c r="O122" s="134"/>
      <c r="P122" s="128">
        <f t="shared" si="25"/>
        <v>0</v>
      </c>
      <c r="Q122" s="125">
        <v>200</v>
      </c>
      <c r="R122" s="126"/>
      <c r="S122" s="134">
        <v>800</v>
      </c>
      <c r="T122" s="128">
        <f t="shared" si="26"/>
        <v>1000</v>
      </c>
      <c r="U122" s="125">
        <v>300</v>
      </c>
      <c r="V122" s="126"/>
      <c r="W122" s="134">
        <v>1200</v>
      </c>
      <c r="X122" s="128">
        <f t="shared" si="23"/>
        <v>1500</v>
      </c>
      <c r="Y122" s="125">
        <v>300</v>
      </c>
      <c r="Z122" s="126"/>
      <c r="AA122" s="134">
        <v>1200</v>
      </c>
      <c r="AB122" s="129">
        <f t="shared" si="24"/>
        <v>1500</v>
      </c>
      <c r="AC122" s="209">
        <f t="shared" si="27"/>
        <v>4000</v>
      </c>
      <c r="AD122" s="130">
        <v>100</v>
      </c>
      <c r="AE122" s="131"/>
      <c r="AF122" s="135">
        <v>400</v>
      </c>
      <c r="AG122" s="133">
        <f t="shared" si="28"/>
        <v>500</v>
      </c>
      <c r="AH122" s="130">
        <v>300</v>
      </c>
      <c r="AI122" s="131"/>
      <c r="AJ122" s="135">
        <v>1200</v>
      </c>
      <c r="AK122" s="133">
        <f t="shared" si="29"/>
        <v>1500</v>
      </c>
      <c r="AL122" s="133">
        <f t="shared" si="33"/>
        <v>2000</v>
      </c>
      <c r="AM122" s="38"/>
    </row>
    <row r="123" spans="1:39" ht="15" customHeight="1" x14ac:dyDescent="0.25">
      <c r="A123" s="104"/>
      <c r="B123" s="103">
        <v>118</v>
      </c>
      <c r="C123" s="196" t="s">
        <v>319</v>
      </c>
      <c r="D123" s="35" t="s">
        <v>75</v>
      </c>
      <c r="E123" s="37" t="s">
        <v>285</v>
      </c>
      <c r="F123" s="36" t="s">
        <v>26</v>
      </c>
      <c r="G123" s="36" t="s">
        <v>36</v>
      </c>
      <c r="I123" s="125">
        <v>52.898000000000003</v>
      </c>
      <c r="J123" s="126"/>
      <c r="K123" s="127">
        <v>11.592000000000001</v>
      </c>
      <c r="L123" s="128">
        <f t="shared" si="31"/>
        <v>64.490000000000009</v>
      </c>
      <c r="M123" s="125"/>
      <c r="N123" s="126"/>
      <c r="O123" s="134"/>
      <c r="P123" s="128">
        <f t="shared" si="25"/>
        <v>0</v>
      </c>
      <c r="Q123" s="125"/>
      <c r="R123" s="126"/>
      <c r="S123" s="134"/>
      <c r="T123" s="128">
        <f t="shared" si="26"/>
        <v>0</v>
      </c>
      <c r="U123" s="125"/>
      <c r="V123" s="126"/>
      <c r="W123" s="134"/>
      <c r="X123" s="128">
        <f t="shared" si="23"/>
        <v>0</v>
      </c>
      <c r="Y123" s="125"/>
      <c r="Z123" s="126"/>
      <c r="AA123" s="134"/>
      <c r="AB123" s="129">
        <f t="shared" si="24"/>
        <v>0</v>
      </c>
      <c r="AC123" s="209">
        <f t="shared" si="27"/>
        <v>0</v>
      </c>
      <c r="AD123" s="130"/>
      <c r="AE123" s="131"/>
      <c r="AF123" s="135"/>
      <c r="AG123" s="133">
        <f t="shared" si="28"/>
        <v>0</v>
      </c>
      <c r="AH123" s="130"/>
      <c r="AI123" s="131"/>
      <c r="AJ123" s="135"/>
      <c r="AK123" s="133">
        <f t="shared" si="29"/>
        <v>0</v>
      </c>
      <c r="AL123" s="133">
        <f t="shared" si="33"/>
        <v>0</v>
      </c>
      <c r="AM123" s="38"/>
    </row>
    <row r="124" spans="1:39" ht="15" customHeight="1" x14ac:dyDescent="0.25">
      <c r="A124" s="104" t="e">
        <f>+#REF!</f>
        <v>#REF!</v>
      </c>
      <c r="B124" s="103">
        <v>119</v>
      </c>
      <c r="C124" s="196" t="s">
        <v>319</v>
      </c>
      <c r="D124" s="35" t="s">
        <v>75</v>
      </c>
      <c r="E124" s="48" t="s">
        <v>150</v>
      </c>
      <c r="F124" s="36" t="s">
        <v>26</v>
      </c>
      <c r="G124" s="36" t="s">
        <v>36</v>
      </c>
      <c r="I124" s="125"/>
      <c r="J124" s="126"/>
      <c r="K124" s="127"/>
      <c r="L124" s="128">
        <f>+I124+J124+K124</f>
        <v>0</v>
      </c>
      <c r="M124" s="125"/>
      <c r="N124" s="126"/>
      <c r="O124" s="134"/>
      <c r="P124" s="128">
        <f t="shared" si="25"/>
        <v>0</v>
      </c>
      <c r="Q124" s="125"/>
      <c r="R124" s="126"/>
      <c r="S124" s="134"/>
      <c r="T124" s="128">
        <f t="shared" si="26"/>
        <v>0</v>
      </c>
      <c r="U124" s="125"/>
      <c r="V124" s="126"/>
      <c r="W124" s="134"/>
      <c r="X124" s="128">
        <f t="shared" si="23"/>
        <v>0</v>
      </c>
      <c r="Y124" s="125"/>
      <c r="Z124" s="126"/>
      <c r="AA124" s="134"/>
      <c r="AB124" s="129">
        <f t="shared" si="24"/>
        <v>0</v>
      </c>
      <c r="AC124" s="209">
        <f t="shared" si="27"/>
        <v>0</v>
      </c>
      <c r="AD124" s="130"/>
      <c r="AE124" s="131"/>
      <c r="AF124" s="135"/>
      <c r="AG124" s="133">
        <f t="shared" si="28"/>
        <v>0</v>
      </c>
      <c r="AH124" s="130"/>
      <c r="AI124" s="131"/>
      <c r="AJ124" s="135"/>
      <c r="AK124" s="133">
        <f t="shared" si="29"/>
        <v>0</v>
      </c>
      <c r="AL124" s="133">
        <f t="shared" si="33"/>
        <v>0</v>
      </c>
      <c r="AM124" s="38"/>
    </row>
    <row r="125" spans="1:39" ht="15" customHeight="1" x14ac:dyDescent="0.25">
      <c r="A125" s="104" t="e">
        <f>+#REF!</f>
        <v>#REF!</v>
      </c>
      <c r="B125" s="103">
        <v>120</v>
      </c>
      <c r="C125" s="196" t="s">
        <v>319</v>
      </c>
      <c r="D125" s="35" t="s">
        <v>75</v>
      </c>
      <c r="E125" s="48" t="s">
        <v>151</v>
      </c>
      <c r="F125" s="36" t="s">
        <v>26</v>
      </c>
      <c r="G125" s="36" t="s">
        <v>36</v>
      </c>
      <c r="I125" s="125">
        <v>90</v>
      </c>
      <c r="J125" s="126"/>
      <c r="K125" s="127">
        <v>360</v>
      </c>
      <c r="L125" s="128">
        <f t="shared" si="31"/>
        <v>450</v>
      </c>
      <c r="M125" s="125">
        <v>50</v>
      </c>
      <c r="N125" s="126"/>
      <c r="O125" s="134">
        <v>2200</v>
      </c>
      <c r="P125" s="128">
        <f t="shared" si="25"/>
        <v>2250</v>
      </c>
      <c r="Q125" s="125">
        <v>0.11899999999999999</v>
      </c>
      <c r="R125" s="126"/>
      <c r="S125" s="134">
        <v>4500.4759999999997</v>
      </c>
      <c r="T125" s="128">
        <f t="shared" si="26"/>
        <v>4500.5949999999993</v>
      </c>
      <c r="U125" s="125">
        <v>800</v>
      </c>
      <c r="V125" s="126"/>
      <c r="W125" s="134">
        <v>3700</v>
      </c>
      <c r="X125" s="128">
        <f t="shared" si="23"/>
        <v>4500</v>
      </c>
      <c r="Y125" s="125">
        <v>1500</v>
      </c>
      <c r="Z125" s="126"/>
      <c r="AA125" s="134">
        <v>6000</v>
      </c>
      <c r="AB125" s="129">
        <f t="shared" si="24"/>
        <v>7500</v>
      </c>
      <c r="AC125" s="209">
        <f t="shared" si="27"/>
        <v>18750.595000000001</v>
      </c>
      <c r="AD125" s="130"/>
      <c r="AE125" s="131"/>
      <c r="AF125" s="135"/>
      <c r="AG125" s="133">
        <f t="shared" si="28"/>
        <v>0</v>
      </c>
      <c r="AH125" s="130"/>
      <c r="AI125" s="131"/>
      <c r="AJ125" s="135"/>
      <c r="AK125" s="133">
        <f t="shared" si="29"/>
        <v>0</v>
      </c>
      <c r="AL125" s="133">
        <f t="shared" si="33"/>
        <v>0</v>
      </c>
      <c r="AM125" s="38"/>
    </row>
    <row r="126" spans="1:39" ht="15" customHeight="1" x14ac:dyDescent="0.25">
      <c r="A126" s="104" t="e">
        <f>+#REF!</f>
        <v>#REF!</v>
      </c>
      <c r="B126" s="103">
        <v>121</v>
      </c>
      <c r="C126" s="196" t="s">
        <v>298</v>
      </c>
      <c r="D126" s="35" t="s">
        <v>75</v>
      </c>
      <c r="E126" s="48" t="s">
        <v>152</v>
      </c>
      <c r="F126" s="36" t="s">
        <v>26</v>
      </c>
      <c r="G126" s="36" t="s">
        <v>36</v>
      </c>
      <c r="I126" s="125">
        <v>975.4</v>
      </c>
      <c r="J126" s="126"/>
      <c r="K126" s="127">
        <v>3976.4</v>
      </c>
      <c r="L126" s="128">
        <f t="shared" si="31"/>
        <v>4951.8</v>
      </c>
      <c r="M126" s="125"/>
      <c r="N126" s="126"/>
      <c r="O126" s="134"/>
      <c r="P126" s="128">
        <f t="shared" si="25"/>
        <v>0</v>
      </c>
      <c r="Q126" s="125"/>
      <c r="R126" s="126"/>
      <c r="S126" s="134"/>
      <c r="T126" s="128">
        <f t="shared" si="26"/>
        <v>0</v>
      </c>
      <c r="U126" s="125"/>
      <c r="V126" s="126"/>
      <c r="W126" s="134"/>
      <c r="X126" s="128">
        <f t="shared" si="23"/>
        <v>0</v>
      </c>
      <c r="Y126" s="125"/>
      <c r="Z126" s="126"/>
      <c r="AA126" s="134"/>
      <c r="AB126" s="129">
        <f t="shared" si="24"/>
        <v>0</v>
      </c>
      <c r="AC126" s="209">
        <f t="shared" si="27"/>
        <v>0</v>
      </c>
      <c r="AD126" s="130"/>
      <c r="AE126" s="131"/>
      <c r="AF126" s="135"/>
      <c r="AG126" s="133">
        <f t="shared" si="28"/>
        <v>0</v>
      </c>
      <c r="AH126" s="130"/>
      <c r="AI126" s="131"/>
      <c r="AJ126" s="135"/>
      <c r="AK126" s="133">
        <f t="shared" si="29"/>
        <v>0</v>
      </c>
      <c r="AL126" s="133">
        <f t="shared" si="33"/>
        <v>0</v>
      </c>
      <c r="AM126" s="38"/>
    </row>
    <row r="127" spans="1:39" ht="15" customHeight="1" x14ac:dyDescent="0.25">
      <c r="A127" s="104" t="e">
        <f>+#REF!</f>
        <v>#REF!</v>
      </c>
      <c r="B127" s="103">
        <v>122</v>
      </c>
      <c r="C127" s="196" t="s">
        <v>302</v>
      </c>
      <c r="D127" s="35" t="s">
        <v>75</v>
      </c>
      <c r="E127" s="48" t="s">
        <v>154</v>
      </c>
      <c r="F127" s="36" t="s">
        <v>26</v>
      </c>
      <c r="G127" s="36" t="s">
        <v>36</v>
      </c>
      <c r="I127" s="125"/>
      <c r="J127" s="126"/>
      <c r="K127" s="127"/>
      <c r="L127" s="128">
        <f t="shared" si="31"/>
        <v>0</v>
      </c>
      <c r="M127" s="125"/>
      <c r="N127" s="126"/>
      <c r="O127" s="134"/>
      <c r="P127" s="128">
        <f t="shared" si="25"/>
        <v>0</v>
      </c>
      <c r="Q127" s="125"/>
      <c r="R127" s="126"/>
      <c r="S127" s="134"/>
      <c r="T127" s="128">
        <f t="shared" si="26"/>
        <v>0</v>
      </c>
      <c r="U127" s="125"/>
      <c r="V127" s="126"/>
      <c r="W127" s="134"/>
      <c r="X127" s="128">
        <f t="shared" si="23"/>
        <v>0</v>
      </c>
      <c r="Y127" s="125"/>
      <c r="Z127" s="126"/>
      <c r="AA127" s="134"/>
      <c r="AB127" s="129">
        <f t="shared" si="24"/>
        <v>0</v>
      </c>
      <c r="AC127" s="209">
        <f t="shared" si="27"/>
        <v>0</v>
      </c>
      <c r="AD127" s="130"/>
      <c r="AE127" s="131"/>
      <c r="AF127" s="135"/>
      <c r="AG127" s="133">
        <f t="shared" si="28"/>
        <v>0</v>
      </c>
      <c r="AH127" s="130"/>
      <c r="AI127" s="131">
        <v>10</v>
      </c>
      <c r="AJ127" s="135"/>
      <c r="AK127" s="133">
        <f t="shared" si="29"/>
        <v>10</v>
      </c>
      <c r="AL127" s="133">
        <f t="shared" si="33"/>
        <v>10</v>
      </c>
      <c r="AM127" s="38"/>
    </row>
    <row r="128" spans="1:39" ht="15" customHeight="1" x14ac:dyDescent="0.25">
      <c r="A128" s="104"/>
      <c r="B128" s="103">
        <v>123</v>
      </c>
      <c r="C128" s="196" t="s">
        <v>121</v>
      </c>
      <c r="D128" s="35" t="s">
        <v>75</v>
      </c>
      <c r="E128" s="39" t="s">
        <v>277</v>
      </c>
      <c r="F128" s="36" t="s">
        <v>26</v>
      </c>
      <c r="G128" s="36" t="s">
        <v>36</v>
      </c>
      <c r="I128" s="125"/>
      <c r="J128" s="126"/>
      <c r="K128" s="127"/>
      <c r="L128" s="128">
        <f t="shared" si="31"/>
        <v>0</v>
      </c>
      <c r="M128" s="125"/>
      <c r="N128" s="126"/>
      <c r="O128" s="134"/>
      <c r="P128" s="128">
        <f t="shared" si="25"/>
        <v>0</v>
      </c>
      <c r="Q128" s="125">
        <v>70</v>
      </c>
      <c r="R128" s="126"/>
      <c r="S128" s="134">
        <v>280</v>
      </c>
      <c r="T128" s="128">
        <f t="shared" si="26"/>
        <v>350</v>
      </c>
      <c r="U128" s="125">
        <v>80</v>
      </c>
      <c r="V128" s="126"/>
      <c r="W128" s="134">
        <v>320</v>
      </c>
      <c r="X128" s="128">
        <f t="shared" si="23"/>
        <v>400</v>
      </c>
      <c r="Y128" s="125">
        <v>100</v>
      </c>
      <c r="Z128" s="126"/>
      <c r="AA128" s="134">
        <v>400</v>
      </c>
      <c r="AB128" s="129">
        <f t="shared" si="24"/>
        <v>500</v>
      </c>
      <c r="AC128" s="209">
        <f t="shared" si="27"/>
        <v>1250</v>
      </c>
      <c r="AD128" s="130">
        <v>250</v>
      </c>
      <c r="AE128" s="131"/>
      <c r="AF128" s="135">
        <v>1000</v>
      </c>
      <c r="AG128" s="133">
        <f t="shared" si="28"/>
        <v>1250</v>
      </c>
      <c r="AH128" s="130">
        <v>100</v>
      </c>
      <c r="AI128" s="131"/>
      <c r="AJ128" s="135">
        <v>400</v>
      </c>
      <c r="AK128" s="133">
        <f t="shared" si="29"/>
        <v>500</v>
      </c>
      <c r="AL128" s="133">
        <f t="shared" si="33"/>
        <v>1750</v>
      </c>
      <c r="AM128" s="38"/>
    </row>
    <row r="129" spans="1:39" ht="15" customHeight="1" x14ac:dyDescent="0.25">
      <c r="A129" s="104"/>
      <c r="B129" s="103">
        <v>124</v>
      </c>
      <c r="C129" s="196" t="s">
        <v>121</v>
      </c>
      <c r="D129" s="35" t="s">
        <v>75</v>
      </c>
      <c r="E129" s="39" t="s">
        <v>274</v>
      </c>
      <c r="F129" s="36" t="s">
        <v>26</v>
      </c>
      <c r="G129" s="36" t="s">
        <v>36</v>
      </c>
      <c r="I129" s="125"/>
      <c r="J129" s="126"/>
      <c r="K129" s="127"/>
      <c r="L129" s="128">
        <f t="shared" si="31"/>
        <v>0</v>
      </c>
      <c r="M129" s="125"/>
      <c r="N129" s="126"/>
      <c r="O129" s="134"/>
      <c r="P129" s="128">
        <f t="shared" si="25"/>
        <v>0</v>
      </c>
      <c r="Q129" s="125">
        <v>100</v>
      </c>
      <c r="R129" s="126"/>
      <c r="S129" s="134">
        <v>400</v>
      </c>
      <c r="T129" s="128">
        <f t="shared" si="26"/>
        <v>500</v>
      </c>
      <c r="U129" s="125">
        <v>100</v>
      </c>
      <c r="V129" s="126"/>
      <c r="W129" s="134">
        <v>400</v>
      </c>
      <c r="X129" s="128">
        <f t="shared" si="23"/>
        <v>500</v>
      </c>
      <c r="Y129" s="125">
        <v>100</v>
      </c>
      <c r="Z129" s="126"/>
      <c r="AA129" s="134">
        <v>400</v>
      </c>
      <c r="AB129" s="129">
        <f t="shared" si="24"/>
        <v>500</v>
      </c>
      <c r="AC129" s="209">
        <f t="shared" si="27"/>
        <v>1500</v>
      </c>
      <c r="AD129" s="130">
        <v>100</v>
      </c>
      <c r="AE129" s="131"/>
      <c r="AF129" s="135">
        <v>400</v>
      </c>
      <c r="AG129" s="133">
        <f t="shared" si="28"/>
        <v>500</v>
      </c>
      <c r="AH129" s="130">
        <v>400</v>
      </c>
      <c r="AI129" s="131"/>
      <c r="AJ129" s="135">
        <v>1600</v>
      </c>
      <c r="AK129" s="133">
        <f t="shared" si="29"/>
        <v>2000</v>
      </c>
      <c r="AL129" s="133">
        <f t="shared" si="33"/>
        <v>2500</v>
      </c>
      <c r="AM129" s="38"/>
    </row>
    <row r="130" spans="1:39" ht="15" customHeight="1" x14ac:dyDescent="0.25">
      <c r="A130" s="104" t="e">
        <f>+#REF!</f>
        <v>#REF!</v>
      </c>
      <c r="B130" s="103">
        <v>125</v>
      </c>
      <c r="C130" s="196" t="s">
        <v>314</v>
      </c>
      <c r="D130" s="35" t="s">
        <v>75</v>
      </c>
      <c r="E130" s="48" t="s">
        <v>246</v>
      </c>
      <c r="F130" s="36" t="s">
        <v>26</v>
      </c>
      <c r="G130" s="36" t="s">
        <v>38</v>
      </c>
      <c r="I130" s="125">
        <v>1866.461</v>
      </c>
      <c r="J130" s="126"/>
      <c r="K130" s="127">
        <v>745.84299999999996</v>
      </c>
      <c r="L130" s="128">
        <f t="shared" si="31"/>
        <v>2612.3040000000001</v>
      </c>
      <c r="M130" s="125">
        <v>160.62700000000001</v>
      </c>
      <c r="N130" s="126"/>
      <c r="O130" s="134"/>
      <c r="P130" s="128">
        <f t="shared" si="25"/>
        <v>160.62700000000001</v>
      </c>
      <c r="Q130" s="125">
        <v>5</v>
      </c>
      <c r="R130" s="126"/>
      <c r="S130" s="134">
        <v>20</v>
      </c>
      <c r="T130" s="128">
        <f t="shared" si="26"/>
        <v>25</v>
      </c>
      <c r="U130" s="125">
        <v>125</v>
      </c>
      <c r="V130" s="126"/>
      <c r="W130" s="134">
        <v>500</v>
      </c>
      <c r="X130" s="128">
        <f t="shared" si="23"/>
        <v>625</v>
      </c>
      <c r="Y130" s="125"/>
      <c r="Z130" s="126"/>
      <c r="AA130" s="134"/>
      <c r="AB130" s="129">
        <f t="shared" si="24"/>
        <v>0</v>
      </c>
      <c r="AC130" s="209">
        <f t="shared" si="27"/>
        <v>810.62699999999995</v>
      </c>
      <c r="AD130" s="130"/>
      <c r="AE130" s="131"/>
      <c r="AF130" s="135"/>
      <c r="AG130" s="133">
        <f t="shared" si="28"/>
        <v>0</v>
      </c>
      <c r="AH130" s="130"/>
      <c r="AI130" s="131"/>
      <c r="AJ130" s="135"/>
      <c r="AK130" s="133">
        <f t="shared" si="29"/>
        <v>0</v>
      </c>
      <c r="AL130" s="133">
        <f t="shared" si="33"/>
        <v>0</v>
      </c>
      <c r="AM130" s="38"/>
    </row>
    <row r="131" spans="1:39" ht="15" customHeight="1" x14ac:dyDescent="0.25">
      <c r="A131" s="104" t="e">
        <f>+#REF!</f>
        <v>#REF!</v>
      </c>
      <c r="B131" s="103">
        <v>126</v>
      </c>
      <c r="C131" s="196" t="s">
        <v>120</v>
      </c>
      <c r="D131" s="35" t="s">
        <v>75</v>
      </c>
      <c r="E131" s="48" t="s">
        <v>231</v>
      </c>
      <c r="F131" s="36" t="s">
        <v>26</v>
      </c>
      <c r="G131" s="36" t="s">
        <v>36</v>
      </c>
      <c r="I131" s="125">
        <v>168</v>
      </c>
      <c r="J131" s="126"/>
      <c r="K131" s="127"/>
      <c r="L131" s="128">
        <f t="shared" si="31"/>
        <v>168</v>
      </c>
      <c r="M131" s="125">
        <v>155.96799999999999</v>
      </c>
      <c r="N131" s="126"/>
      <c r="O131" s="134"/>
      <c r="P131" s="128">
        <f t="shared" si="25"/>
        <v>155.96799999999999</v>
      </c>
      <c r="Q131" s="125">
        <v>100</v>
      </c>
      <c r="R131" s="126"/>
      <c r="S131" s="134"/>
      <c r="T131" s="128">
        <f t="shared" si="26"/>
        <v>100</v>
      </c>
      <c r="U131" s="125"/>
      <c r="V131" s="126"/>
      <c r="W131" s="134"/>
      <c r="X131" s="128">
        <f t="shared" si="23"/>
        <v>0</v>
      </c>
      <c r="Y131" s="125"/>
      <c r="Z131" s="126"/>
      <c r="AA131" s="134"/>
      <c r="AB131" s="129">
        <f t="shared" si="24"/>
        <v>0</v>
      </c>
      <c r="AC131" s="209">
        <f>+AB131+X131+P131+T131</f>
        <v>255.96799999999999</v>
      </c>
      <c r="AD131" s="130"/>
      <c r="AE131" s="131"/>
      <c r="AF131" s="135"/>
      <c r="AG131" s="133">
        <f t="shared" si="28"/>
        <v>0</v>
      </c>
      <c r="AH131" s="130"/>
      <c r="AI131" s="131"/>
      <c r="AJ131" s="135"/>
      <c r="AK131" s="133">
        <f t="shared" si="29"/>
        <v>0</v>
      </c>
      <c r="AL131" s="133">
        <f t="shared" si="33"/>
        <v>0</v>
      </c>
      <c r="AM131" s="38"/>
    </row>
    <row r="132" spans="1:39" ht="15" customHeight="1" x14ac:dyDescent="0.25">
      <c r="A132" s="104" t="e">
        <f>+#REF!</f>
        <v>#REF!</v>
      </c>
      <c r="B132" s="103">
        <v>127</v>
      </c>
      <c r="C132" s="196" t="s">
        <v>300</v>
      </c>
      <c r="D132" s="35" t="s">
        <v>75</v>
      </c>
      <c r="E132" s="48" t="s">
        <v>156</v>
      </c>
      <c r="F132" s="36" t="s">
        <v>26</v>
      </c>
      <c r="G132" s="36" t="s">
        <v>36</v>
      </c>
      <c r="I132" s="125"/>
      <c r="J132" s="126"/>
      <c r="K132" s="127">
        <v>3296.1</v>
      </c>
      <c r="L132" s="128">
        <f t="shared" si="31"/>
        <v>3296.1</v>
      </c>
      <c r="M132" s="125"/>
      <c r="N132" s="126"/>
      <c r="O132" s="134"/>
      <c r="P132" s="128">
        <f t="shared" si="25"/>
        <v>0</v>
      </c>
      <c r="Q132" s="125"/>
      <c r="R132" s="126"/>
      <c r="S132" s="134"/>
      <c r="T132" s="128">
        <f t="shared" si="26"/>
        <v>0</v>
      </c>
      <c r="U132" s="125"/>
      <c r="V132" s="126"/>
      <c r="W132" s="134"/>
      <c r="X132" s="128">
        <f t="shared" si="23"/>
        <v>0</v>
      </c>
      <c r="Y132" s="125"/>
      <c r="Z132" s="126"/>
      <c r="AA132" s="134"/>
      <c r="AB132" s="129">
        <f t="shared" si="24"/>
        <v>0</v>
      </c>
      <c r="AC132" s="209">
        <f t="shared" si="27"/>
        <v>0</v>
      </c>
      <c r="AD132" s="130"/>
      <c r="AE132" s="131"/>
      <c r="AF132" s="135"/>
      <c r="AG132" s="133">
        <f t="shared" si="28"/>
        <v>0</v>
      </c>
      <c r="AH132" s="130"/>
      <c r="AI132" s="131"/>
      <c r="AJ132" s="135"/>
      <c r="AK132" s="133">
        <f t="shared" si="29"/>
        <v>0</v>
      </c>
      <c r="AL132" s="133">
        <f t="shared" si="33"/>
        <v>0</v>
      </c>
      <c r="AM132" s="38"/>
    </row>
    <row r="133" spans="1:39" ht="15" customHeight="1" x14ac:dyDescent="0.25">
      <c r="A133" s="104" t="e">
        <f>+#REF!</f>
        <v>#REF!</v>
      </c>
      <c r="B133" s="103">
        <v>128</v>
      </c>
      <c r="C133" s="196" t="s">
        <v>299</v>
      </c>
      <c r="D133" s="35" t="s">
        <v>75</v>
      </c>
      <c r="E133" s="48" t="s">
        <v>158</v>
      </c>
      <c r="F133" s="36" t="s">
        <v>39</v>
      </c>
      <c r="G133" s="36" t="s">
        <v>38</v>
      </c>
      <c r="I133" s="125"/>
      <c r="J133" s="126"/>
      <c r="K133" s="127"/>
      <c r="L133" s="128">
        <f t="shared" si="31"/>
        <v>0</v>
      </c>
      <c r="M133" s="125">
        <v>400</v>
      </c>
      <c r="N133" s="126"/>
      <c r="O133" s="134"/>
      <c r="P133" s="128">
        <f t="shared" si="25"/>
        <v>400</v>
      </c>
      <c r="Q133" s="125">
        <v>400</v>
      </c>
      <c r="R133" s="126"/>
      <c r="S133" s="134"/>
      <c r="T133" s="128">
        <f t="shared" si="26"/>
        <v>400</v>
      </c>
      <c r="U133" s="125"/>
      <c r="V133" s="126"/>
      <c r="W133" s="134"/>
      <c r="X133" s="128">
        <f t="shared" si="23"/>
        <v>0</v>
      </c>
      <c r="Y133" s="125">
        <v>148</v>
      </c>
      <c r="Z133" s="126"/>
      <c r="AA133" s="134">
        <v>592</v>
      </c>
      <c r="AB133" s="129">
        <f t="shared" si="24"/>
        <v>740</v>
      </c>
      <c r="AC133" s="209">
        <f t="shared" si="27"/>
        <v>1540</v>
      </c>
      <c r="AD133" s="130">
        <v>148</v>
      </c>
      <c r="AE133" s="131"/>
      <c r="AF133" s="135">
        <v>592</v>
      </c>
      <c r="AG133" s="133">
        <f t="shared" si="28"/>
        <v>740</v>
      </c>
      <c r="AH133" s="130">
        <v>600</v>
      </c>
      <c r="AI133" s="131"/>
      <c r="AJ133" s="135">
        <v>2400</v>
      </c>
      <c r="AK133" s="133">
        <f t="shared" si="29"/>
        <v>3000</v>
      </c>
      <c r="AL133" s="133">
        <f t="shared" si="33"/>
        <v>3740</v>
      </c>
      <c r="AM133" s="38"/>
    </row>
    <row r="134" spans="1:39" ht="15" customHeight="1" x14ac:dyDescent="0.25">
      <c r="A134" s="104" t="e">
        <f>+#REF!</f>
        <v>#REF!</v>
      </c>
      <c r="B134" s="103">
        <v>129</v>
      </c>
      <c r="C134" s="196" t="s">
        <v>314</v>
      </c>
      <c r="D134" s="35" t="s">
        <v>75</v>
      </c>
      <c r="E134" s="48" t="s">
        <v>232</v>
      </c>
      <c r="F134" s="36" t="s">
        <v>33</v>
      </c>
      <c r="G134" s="36" t="s">
        <v>38</v>
      </c>
      <c r="I134" s="125">
        <v>200</v>
      </c>
      <c r="J134" s="126"/>
      <c r="K134" s="127">
        <v>800</v>
      </c>
      <c r="L134" s="128">
        <f t="shared" si="31"/>
        <v>1000</v>
      </c>
      <c r="M134" s="125"/>
      <c r="N134" s="126"/>
      <c r="O134" s="134"/>
      <c r="P134" s="128">
        <f t="shared" si="25"/>
        <v>0</v>
      </c>
      <c r="Q134" s="125"/>
      <c r="R134" s="126"/>
      <c r="S134" s="134"/>
      <c r="T134" s="128">
        <f t="shared" si="26"/>
        <v>0</v>
      </c>
      <c r="U134" s="125"/>
      <c r="V134" s="126"/>
      <c r="W134" s="134"/>
      <c r="X134" s="128">
        <f t="shared" si="23"/>
        <v>0</v>
      </c>
      <c r="Y134" s="125"/>
      <c r="Z134" s="126"/>
      <c r="AA134" s="134"/>
      <c r="AB134" s="129">
        <f t="shared" si="24"/>
        <v>0</v>
      </c>
      <c r="AC134" s="209">
        <f t="shared" si="27"/>
        <v>0</v>
      </c>
      <c r="AD134" s="130"/>
      <c r="AE134" s="131"/>
      <c r="AF134" s="135"/>
      <c r="AG134" s="133">
        <f t="shared" si="28"/>
        <v>0</v>
      </c>
      <c r="AH134" s="130"/>
      <c r="AI134" s="131"/>
      <c r="AJ134" s="135"/>
      <c r="AK134" s="133">
        <f t="shared" si="29"/>
        <v>0</v>
      </c>
      <c r="AL134" s="133">
        <f t="shared" si="33"/>
        <v>0</v>
      </c>
      <c r="AM134" s="38"/>
    </row>
    <row r="135" spans="1:39" ht="15" customHeight="1" x14ac:dyDescent="0.25">
      <c r="A135" s="104"/>
      <c r="B135" s="103">
        <v>130</v>
      </c>
      <c r="L135" s="128"/>
      <c r="P135" s="128"/>
      <c r="T135" s="128"/>
      <c r="X135" s="129"/>
      <c r="AB135" s="129"/>
      <c r="AC135" s="210"/>
      <c r="AG135" s="133"/>
      <c r="AK135" s="133"/>
      <c r="AL135" s="133"/>
      <c r="AM135" s="51"/>
    </row>
    <row r="136" spans="1:39" s="47" customFormat="1" ht="15" customHeight="1" x14ac:dyDescent="0.25">
      <c r="A136" s="104" t="e">
        <f>+#REF!</f>
        <v>#REF!</v>
      </c>
      <c r="B136" s="103">
        <v>131</v>
      </c>
      <c r="C136" s="43"/>
      <c r="D136" s="44"/>
      <c r="E136" s="46" t="s">
        <v>159</v>
      </c>
      <c r="F136" s="46"/>
      <c r="G136" s="46"/>
      <c r="H136" s="105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202"/>
      <c r="AC136" s="212"/>
      <c r="AD136" s="182"/>
      <c r="AE136" s="147"/>
      <c r="AF136" s="147"/>
      <c r="AG136" s="147"/>
      <c r="AH136" s="147"/>
      <c r="AI136" s="147"/>
      <c r="AJ136" s="147"/>
      <c r="AK136" s="147"/>
      <c r="AL136" s="147"/>
      <c r="AM136" s="52"/>
    </row>
    <row r="137" spans="1:39" ht="15" customHeight="1" x14ac:dyDescent="0.25">
      <c r="A137" s="104" t="e">
        <f>+#REF!</f>
        <v>#REF!</v>
      </c>
      <c r="B137" s="103">
        <v>132</v>
      </c>
      <c r="C137" s="196" t="s">
        <v>160</v>
      </c>
      <c r="D137" s="35" t="s">
        <v>161</v>
      </c>
      <c r="E137" s="36" t="s">
        <v>162</v>
      </c>
      <c r="F137" s="36" t="s">
        <v>33</v>
      </c>
      <c r="G137" s="36" t="s">
        <v>25</v>
      </c>
      <c r="I137" s="125">
        <f>3120*0.2</f>
        <v>624</v>
      </c>
      <c r="J137" s="126"/>
      <c r="K137" s="125">
        <f>3120*0.8</f>
        <v>2496</v>
      </c>
      <c r="L137" s="128">
        <f t="shared" ref="L137:L152" si="34">SUM(I137:K137)</f>
        <v>3120</v>
      </c>
      <c r="M137" s="125">
        <f>3280*0.2</f>
        <v>656</v>
      </c>
      <c r="N137" s="126"/>
      <c r="O137" s="125">
        <f>3280*0.8</f>
        <v>2624</v>
      </c>
      <c r="P137" s="128">
        <f t="shared" ref="P137:P152" si="35">+M137+N137+O137</f>
        <v>3280</v>
      </c>
      <c r="Q137" s="125">
        <f>3320*0.2</f>
        <v>664</v>
      </c>
      <c r="R137" s="126"/>
      <c r="S137" s="125">
        <f>3320*0.8</f>
        <v>2656</v>
      </c>
      <c r="T137" s="128">
        <f t="shared" ref="T137:T152" si="36">+Q137+R137+S137</f>
        <v>3320</v>
      </c>
      <c r="U137" s="125">
        <f>2950*0.2</f>
        <v>590</v>
      </c>
      <c r="V137" s="126"/>
      <c r="W137" s="125">
        <f>2950*0.8</f>
        <v>2360</v>
      </c>
      <c r="X137" s="128">
        <f t="shared" ref="X137:X152" si="37">+U137+V137+W137</f>
        <v>2950</v>
      </c>
      <c r="Y137" s="125"/>
      <c r="Z137" s="126"/>
      <c r="AA137" s="134"/>
      <c r="AB137" s="129">
        <f t="shared" ref="AB137:AB152" si="38">+Y137+Z137+AA137</f>
        <v>0</v>
      </c>
      <c r="AC137" s="209">
        <f t="shared" ref="AC137:AC152" si="39">+AB137+X137+P137+T137</f>
        <v>9550</v>
      </c>
      <c r="AD137" s="130"/>
      <c r="AE137" s="131"/>
      <c r="AF137" s="135"/>
      <c r="AG137" s="133">
        <f t="shared" ref="AG137:AG151" si="40">+AD137+AE137+AF137</f>
        <v>0</v>
      </c>
      <c r="AH137" s="130"/>
      <c r="AI137" s="131"/>
      <c r="AJ137" s="135"/>
      <c r="AK137" s="133">
        <f t="shared" ref="AK137:AK151" si="41">+AH137+AI137+AJ137</f>
        <v>0</v>
      </c>
      <c r="AL137" s="133">
        <f t="shared" ref="AL137:AL152" si="42">+AK137+AG137</f>
        <v>0</v>
      </c>
      <c r="AM137" s="38"/>
    </row>
    <row r="138" spans="1:39" ht="15" customHeight="1" x14ac:dyDescent="0.25">
      <c r="A138" s="104" t="e">
        <f>+#REF!</f>
        <v>#REF!</v>
      </c>
      <c r="B138" s="103">
        <v>133</v>
      </c>
      <c r="C138" s="196" t="s">
        <v>176</v>
      </c>
      <c r="D138" s="35" t="s">
        <v>161</v>
      </c>
      <c r="E138" s="36" t="s">
        <v>164</v>
      </c>
      <c r="F138" s="36" t="s">
        <v>26</v>
      </c>
      <c r="G138" s="36" t="s">
        <v>25</v>
      </c>
      <c r="I138" s="125">
        <f>1290*0.2</f>
        <v>258</v>
      </c>
      <c r="J138" s="126"/>
      <c r="K138" s="125">
        <f>1290*0.8</f>
        <v>1032</v>
      </c>
      <c r="L138" s="128">
        <f t="shared" si="34"/>
        <v>1290</v>
      </c>
      <c r="M138" s="125">
        <f>1250*0.2</f>
        <v>250</v>
      </c>
      <c r="N138" s="126"/>
      <c r="O138" s="125">
        <f>1250*0.8</f>
        <v>1000</v>
      </c>
      <c r="P138" s="128">
        <f t="shared" si="35"/>
        <v>1250</v>
      </c>
      <c r="Q138" s="125">
        <f>1155*0.2</f>
        <v>231</v>
      </c>
      <c r="R138" s="126"/>
      <c r="S138" s="125">
        <f>1155*0.8</f>
        <v>924</v>
      </c>
      <c r="T138" s="128">
        <f t="shared" si="36"/>
        <v>1155</v>
      </c>
      <c r="U138" s="125">
        <f>1155*0.2</f>
        <v>231</v>
      </c>
      <c r="V138" s="126"/>
      <c r="W138" s="125">
        <f>1155*0.8</f>
        <v>924</v>
      </c>
      <c r="X138" s="128">
        <f t="shared" si="37"/>
        <v>1155</v>
      </c>
      <c r="Y138" s="125"/>
      <c r="Z138" s="126"/>
      <c r="AA138" s="134"/>
      <c r="AB138" s="129">
        <f t="shared" si="38"/>
        <v>0</v>
      </c>
      <c r="AC138" s="209">
        <f t="shared" si="39"/>
        <v>3560</v>
      </c>
      <c r="AD138" s="130"/>
      <c r="AE138" s="131"/>
      <c r="AF138" s="135"/>
      <c r="AG138" s="133">
        <f t="shared" si="40"/>
        <v>0</v>
      </c>
      <c r="AH138" s="130"/>
      <c r="AI138" s="131"/>
      <c r="AJ138" s="135"/>
      <c r="AK138" s="133">
        <f t="shared" si="41"/>
        <v>0</v>
      </c>
      <c r="AL138" s="133">
        <f t="shared" si="42"/>
        <v>0</v>
      </c>
      <c r="AM138" s="38"/>
    </row>
    <row r="139" spans="1:39" ht="15" customHeight="1" x14ac:dyDescent="0.25">
      <c r="A139" s="104" t="e">
        <f>+#REF!</f>
        <v>#REF!</v>
      </c>
      <c r="B139" s="103">
        <v>134</v>
      </c>
      <c r="C139" s="196" t="s">
        <v>165</v>
      </c>
      <c r="D139" s="35" t="s">
        <v>161</v>
      </c>
      <c r="E139" s="36" t="s">
        <v>166</v>
      </c>
      <c r="F139" s="36" t="s">
        <v>33</v>
      </c>
      <c r="G139" s="36" t="s">
        <v>29</v>
      </c>
      <c r="I139" s="125">
        <f>3120*0.2</f>
        <v>624</v>
      </c>
      <c r="J139" s="126"/>
      <c r="K139" s="125">
        <f>3120*0.8</f>
        <v>2496</v>
      </c>
      <c r="L139" s="128">
        <f t="shared" si="34"/>
        <v>3120</v>
      </c>
      <c r="M139" s="125">
        <f>3580*0.2</f>
        <v>716</v>
      </c>
      <c r="N139" s="126"/>
      <c r="O139" s="125">
        <f>3580*0.8</f>
        <v>2864</v>
      </c>
      <c r="P139" s="128">
        <f t="shared" si="35"/>
        <v>3580</v>
      </c>
      <c r="Q139" s="125">
        <f>3630*0.2</f>
        <v>726</v>
      </c>
      <c r="R139" s="126"/>
      <c r="S139" s="125">
        <f>3630*0.8</f>
        <v>2904</v>
      </c>
      <c r="T139" s="128">
        <f t="shared" si="36"/>
        <v>3630</v>
      </c>
      <c r="U139" s="125">
        <f>3120*0.2</f>
        <v>624</v>
      </c>
      <c r="V139" s="126"/>
      <c r="W139" s="125">
        <f>3120*0.8</f>
        <v>2496</v>
      </c>
      <c r="X139" s="128">
        <f t="shared" si="37"/>
        <v>3120</v>
      </c>
      <c r="Y139" s="125"/>
      <c r="Z139" s="126"/>
      <c r="AA139" s="134"/>
      <c r="AB139" s="129">
        <f t="shared" si="38"/>
        <v>0</v>
      </c>
      <c r="AC139" s="209">
        <f t="shared" si="39"/>
        <v>10330</v>
      </c>
      <c r="AD139" s="130"/>
      <c r="AE139" s="131"/>
      <c r="AF139" s="135"/>
      <c r="AG139" s="133">
        <f t="shared" si="40"/>
        <v>0</v>
      </c>
      <c r="AH139" s="130"/>
      <c r="AI139" s="131"/>
      <c r="AJ139" s="135"/>
      <c r="AK139" s="133">
        <f t="shared" si="41"/>
        <v>0</v>
      </c>
      <c r="AL139" s="133">
        <f t="shared" si="42"/>
        <v>0</v>
      </c>
      <c r="AM139" s="38"/>
    </row>
    <row r="140" spans="1:39" ht="15" customHeight="1" x14ac:dyDescent="0.25">
      <c r="A140" s="104" t="e">
        <f>+#REF!</f>
        <v>#REF!</v>
      </c>
      <c r="B140" s="103">
        <v>135</v>
      </c>
      <c r="C140" s="196" t="s">
        <v>167</v>
      </c>
      <c r="D140" s="35" t="s">
        <v>161</v>
      </c>
      <c r="E140" s="36" t="s">
        <v>168</v>
      </c>
      <c r="F140" s="36" t="s">
        <v>33</v>
      </c>
      <c r="G140" s="36" t="s">
        <v>25</v>
      </c>
      <c r="I140" s="125">
        <f>5045*0.2</f>
        <v>1009</v>
      </c>
      <c r="J140" s="126"/>
      <c r="K140" s="125">
        <f>5045*0.8</f>
        <v>4036</v>
      </c>
      <c r="L140" s="128">
        <f t="shared" si="34"/>
        <v>5045</v>
      </c>
      <c r="M140" s="125">
        <f>6080*0.2</f>
        <v>1216</v>
      </c>
      <c r="N140" s="126"/>
      <c r="O140" s="125">
        <f>6080*0.8</f>
        <v>4864</v>
      </c>
      <c r="P140" s="128">
        <f t="shared" si="35"/>
        <v>6080</v>
      </c>
      <c r="Q140" s="125">
        <f>6300*0.2</f>
        <v>1260</v>
      </c>
      <c r="R140" s="126"/>
      <c r="S140" s="125">
        <f>6300*0.8</f>
        <v>5040</v>
      </c>
      <c r="T140" s="128">
        <f t="shared" si="36"/>
        <v>6300</v>
      </c>
      <c r="U140" s="125">
        <f>5770*0.2</f>
        <v>1154</v>
      </c>
      <c r="V140" s="126"/>
      <c r="W140" s="125">
        <f>5770*0.8</f>
        <v>4616</v>
      </c>
      <c r="X140" s="128">
        <f t="shared" si="37"/>
        <v>5770</v>
      </c>
      <c r="Y140" s="125"/>
      <c r="Z140" s="126"/>
      <c r="AA140" s="134"/>
      <c r="AB140" s="129">
        <f t="shared" si="38"/>
        <v>0</v>
      </c>
      <c r="AC140" s="209">
        <f t="shared" si="39"/>
        <v>18150</v>
      </c>
      <c r="AD140" s="130"/>
      <c r="AE140" s="131"/>
      <c r="AF140" s="135"/>
      <c r="AG140" s="133">
        <f t="shared" si="40"/>
        <v>0</v>
      </c>
      <c r="AH140" s="130"/>
      <c r="AI140" s="131"/>
      <c r="AJ140" s="135"/>
      <c r="AK140" s="133">
        <f t="shared" si="41"/>
        <v>0</v>
      </c>
      <c r="AL140" s="133">
        <f t="shared" si="42"/>
        <v>0</v>
      </c>
      <c r="AM140" s="38"/>
    </row>
    <row r="141" spans="1:39" ht="15" customHeight="1" x14ac:dyDescent="0.25">
      <c r="A141" s="104" t="e">
        <f>+#REF!</f>
        <v>#REF!</v>
      </c>
      <c r="B141" s="103">
        <v>136</v>
      </c>
      <c r="C141" s="196" t="s">
        <v>169</v>
      </c>
      <c r="D141" s="35" t="s">
        <v>161</v>
      </c>
      <c r="E141" s="36" t="s">
        <v>170</v>
      </c>
      <c r="F141" s="36" t="s">
        <v>33</v>
      </c>
      <c r="G141" s="36" t="s">
        <v>25</v>
      </c>
      <c r="I141" s="125">
        <f>5930*0.2</f>
        <v>1186</v>
      </c>
      <c r="J141" s="126"/>
      <c r="K141" s="125">
        <f>5930*0.8</f>
        <v>4744</v>
      </c>
      <c r="L141" s="128">
        <f t="shared" si="34"/>
        <v>5930</v>
      </c>
      <c r="M141" s="125">
        <f>6660*0.2</f>
        <v>1332</v>
      </c>
      <c r="N141" s="126"/>
      <c r="O141" s="125">
        <f>6660*0.8</f>
        <v>5328</v>
      </c>
      <c r="P141" s="128">
        <f t="shared" si="35"/>
        <v>6660</v>
      </c>
      <c r="Q141" s="125">
        <f>6210*0.2</f>
        <v>1242</v>
      </c>
      <c r="R141" s="126"/>
      <c r="S141" s="125">
        <f>6210*0.8</f>
        <v>4968</v>
      </c>
      <c r="T141" s="128">
        <f t="shared" si="36"/>
        <v>6210</v>
      </c>
      <c r="U141" s="125">
        <f>5010*0.2</f>
        <v>1002</v>
      </c>
      <c r="V141" s="126"/>
      <c r="W141" s="125">
        <f>5010*0.8</f>
        <v>4008</v>
      </c>
      <c r="X141" s="128">
        <f t="shared" si="37"/>
        <v>5010</v>
      </c>
      <c r="Y141" s="125"/>
      <c r="Z141" s="126"/>
      <c r="AA141" s="134"/>
      <c r="AB141" s="129">
        <f t="shared" si="38"/>
        <v>0</v>
      </c>
      <c r="AC141" s="209">
        <f t="shared" si="39"/>
        <v>17880</v>
      </c>
      <c r="AD141" s="130"/>
      <c r="AE141" s="131"/>
      <c r="AF141" s="135"/>
      <c r="AG141" s="133">
        <f t="shared" si="40"/>
        <v>0</v>
      </c>
      <c r="AH141" s="130"/>
      <c r="AI141" s="131"/>
      <c r="AJ141" s="135"/>
      <c r="AK141" s="133">
        <f t="shared" si="41"/>
        <v>0</v>
      </c>
      <c r="AL141" s="133">
        <f t="shared" si="42"/>
        <v>0</v>
      </c>
      <c r="AM141" s="38"/>
    </row>
    <row r="142" spans="1:39" ht="15" customHeight="1" x14ac:dyDescent="0.25">
      <c r="A142" s="104" t="e">
        <f>+#REF!</f>
        <v>#REF!</v>
      </c>
      <c r="B142" s="103">
        <v>137</v>
      </c>
      <c r="C142" s="196" t="s">
        <v>171</v>
      </c>
      <c r="D142" s="35" t="s">
        <v>161</v>
      </c>
      <c r="E142" s="36" t="s">
        <v>172</v>
      </c>
      <c r="F142" s="36" t="s">
        <v>33</v>
      </c>
      <c r="G142" s="36" t="s">
        <v>36</v>
      </c>
      <c r="I142" s="125">
        <f>330*0.2</f>
        <v>66</v>
      </c>
      <c r="J142" s="126"/>
      <c r="K142" s="134">
        <f>330*0.8</f>
        <v>264</v>
      </c>
      <c r="L142" s="128">
        <f t="shared" si="34"/>
        <v>330</v>
      </c>
      <c r="M142" s="125">
        <f>340*0.2</f>
        <v>68</v>
      </c>
      <c r="N142" s="126"/>
      <c r="O142" s="134">
        <f>340*0.8</f>
        <v>272</v>
      </c>
      <c r="P142" s="128">
        <f t="shared" si="35"/>
        <v>340</v>
      </c>
      <c r="Q142" s="125">
        <f>350*0.2</f>
        <v>70</v>
      </c>
      <c r="R142" s="126"/>
      <c r="S142" s="134">
        <f>350*0.8</f>
        <v>280</v>
      </c>
      <c r="T142" s="128">
        <f t="shared" si="36"/>
        <v>350</v>
      </c>
      <c r="U142" s="125">
        <f>350*0.2</f>
        <v>70</v>
      </c>
      <c r="V142" s="126"/>
      <c r="W142" s="134">
        <f>350*0.8</f>
        <v>280</v>
      </c>
      <c r="X142" s="128">
        <f t="shared" si="37"/>
        <v>350</v>
      </c>
      <c r="Y142" s="125"/>
      <c r="Z142" s="126"/>
      <c r="AA142" s="134"/>
      <c r="AB142" s="129">
        <f t="shared" si="38"/>
        <v>0</v>
      </c>
      <c r="AC142" s="209">
        <f t="shared" si="39"/>
        <v>1040</v>
      </c>
      <c r="AD142" s="130"/>
      <c r="AE142" s="131"/>
      <c r="AF142" s="135"/>
      <c r="AG142" s="133">
        <f t="shared" si="40"/>
        <v>0</v>
      </c>
      <c r="AH142" s="130"/>
      <c r="AI142" s="131"/>
      <c r="AJ142" s="135"/>
      <c r="AK142" s="133">
        <f t="shared" si="41"/>
        <v>0</v>
      </c>
      <c r="AL142" s="133">
        <f t="shared" si="42"/>
        <v>0</v>
      </c>
      <c r="AM142" s="38"/>
    </row>
    <row r="143" spans="1:39" ht="15" customHeight="1" x14ac:dyDescent="0.25">
      <c r="A143" s="104" t="e">
        <f>+#REF!</f>
        <v>#REF!</v>
      </c>
      <c r="B143" s="103">
        <v>138</v>
      </c>
      <c r="C143" s="196" t="s">
        <v>173</v>
      </c>
      <c r="D143" s="35" t="s">
        <v>161</v>
      </c>
      <c r="E143" s="53" t="s">
        <v>234</v>
      </c>
      <c r="F143" s="36" t="s">
        <v>33</v>
      </c>
      <c r="G143" s="36" t="s">
        <v>25</v>
      </c>
      <c r="I143" s="125"/>
      <c r="J143" s="126">
        <f>2800*0.2</f>
        <v>560</v>
      </c>
      <c r="K143" s="134">
        <f>2800*0.8</f>
        <v>2240</v>
      </c>
      <c r="L143" s="128">
        <f t="shared" si="34"/>
        <v>2800</v>
      </c>
      <c r="M143" s="125"/>
      <c r="N143" s="126"/>
      <c r="O143" s="134"/>
      <c r="P143" s="128">
        <f t="shared" si="35"/>
        <v>0</v>
      </c>
      <c r="Q143" s="125"/>
      <c r="R143" s="126"/>
      <c r="S143" s="134"/>
      <c r="T143" s="128">
        <f t="shared" si="36"/>
        <v>0</v>
      </c>
      <c r="U143" s="125"/>
      <c r="V143" s="126"/>
      <c r="W143" s="134"/>
      <c r="X143" s="128">
        <f t="shared" si="37"/>
        <v>0</v>
      </c>
      <c r="Y143" s="125"/>
      <c r="Z143" s="126"/>
      <c r="AA143" s="134"/>
      <c r="AB143" s="129">
        <f t="shared" si="38"/>
        <v>0</v>
      </c>
      <c r="AC143" s="209">
        <f t="shared" si="39"/>
        <v>0</v>
      </c>
      <c r="AD143" s="130"/>
      <c r="AE143" s="131"/>
      <c r="AF143" s="135"/>
      <c r="AG143" s="133">
        <f t="shared" si="40"/>
        <v>0</v>
      </c>
      <c r="AH143" s="130"/>
      <c r="AI143" s="131"/>
      <c r="AJ143" s="135"/>
      <c r="AK143" s="133">
        <f t="shared" si="41"/>
        <v>0</v>
      </c>
      <c r="AL143" s="133">
        <f t="shared" si="42"/>
        <v>0</v>
      </c>
      <c r="AM143" s="38"/>
    </row>
    <row r="144" spans="1:39" ht="15" customHeight="1" x14ac:dyDescent="0.25">
      <c r="A144" s="104" t="e">
        <f>+#REF!</f>
        <v>#REF!</v>
      </c>
      <c r="B144" s="103">
        <v>139</v>
      </c>
      <c r="C144" s="196" t="s">
        <v>297</v>
      </c>
      <c r="D144" s="35" t="s">
        <v>161</v>
      </c>
      <c r="E144" s="36" t="s">
        <v>286</v>
      </c>
      <c r="F144" s="36" t="s">
        <v>26</v>
      </c>
      <c r="G144" s="36" t="s">
        <v>57</v>
      </c>
      <c r="I144" s="125"/>
      <c r="J144" s="126"/>
      <c r="K144" s="134">
        <v>500</v>
      </c>
      <c r="L144" s="128">
        <f t="shared" si="34"/>
        <v>500</v>
      </c>
      <c r="M144" s="125"/>
      <c r="N144" s="126"/>
      <c r="O144" s="134">
        <v>1200</v>
      </c>
      <c r="P144" s="128">
        <f t="shared" si="35"/>
        <v>1200</v>
      </c>
      <c r="Q144" s="125"/>
      <c r="R144" s="126"/>
      <c r="S144" s="134">
        <v>360</v>
      </c>
      <c r="T144" s="128">
        <f t="shared" si="36"/>
        <v>360</v>
      </c>
      <c r="U144" s="125"/>
      <c r="V144" s="126"/>
      <c r="W144" s="134"/>
      <c r="X144" s="128">
        <f t="shared" si="37"/>
        <v>0</v>
      </c>
      <c r="Y144" s="125"/>
      <c r="Z144" s="126"/>
      <c r="AA144" s="134"/>
      <c r="AB144" s="129">
        <f t="shared" si="38"/>
        <v>0</v>
      </c>
      <c r="AC144" s="209">
        <f t="shared" si="39"/>
        <v>1560</v>
      </c>
      <c r="AD144" s="130"/>
      <c r="AE144" s="131"/>
      <c r="AF144" s="135"/>
      <c r="AG144" s="133">
        <f t="shared" si="40"/>
        <v>0</v>
      </c>
      <c r="AH144" s="130"/>
      <c r="AI144" s="131"/>
      <c r="AJ144" s="135"/>
      <c r="AK144" s="133">
        <f t="shared" si="41"/>
        <v>0</v>
      </c>
      <c r="AL144" s="133">
        <f t="shared" si="42"/>
        <v>0</v>
      </c>
      <c r="AM144" s="38"/>
    </row>
    <row r="145" spans="1:39" ht="15" customHeight="1" x14ac:dyDescent="0.25">
      <c r="A145" s="104"/>
      <c r="B145" s="103">
        <v>140</v>
      </c>
      <c r="C145" s="196" t="s">
        <v>296</v>
      </c>
      <c r="D145" s="35" t="s">
        <v>161</v>
      </c>
      <c r="E145" s="36" t="s">
        <v>253</v>
      </c>
      <c r="F145" s="36" t="s">
        <v>33</v>
      </c>
      <c r="G145" s="36" t="s">
        <v>38</v>
      </c>
      <c r="I145" s="125"/>
      <c r="J145" s="126">
        <v>277</v>
      </c>
      <c r="K145" s="134">
        <v>277</v>
      </c>
      <c r="L145" s="128">
        <f t="shared" si="34"/>
        <v>554</v>
      </c>
      <c r="M145" s="125"/>
      <c r="N145" s="126"/>
      <c r="O145" s="134"/>
      <c r="P145" s="128">
        <f t="shared" si="35"/>
        <v>0</v>
      </c>
      <c r="Q145" s="125"/>
      <c r="R145" s="126"/>
      <c r="S145" s="134"/>
      <c r="T145" s="128">
        <f t="shared" si="36"/>
        <v>0</v>
      </c>
      <c r="U145" s="125"/>
      <c r="V145" s="126"/>
      <c r="W145" s="134"/>
      <c r="X145" s="128">
        <f t="shared" si="37"/>
        <v>0</v>
      </c>
      <c r="Y145" s="125"/>
      <c r="Z145" s="126"/>
      <c r="AA145" s="134"/>
      <c r="AB145" s="129">
        <f t="shared" si="38"/>
        <v>0</v>
      </c>
      <c r="AC145" s="209">
        <f t="shared" si="39"/>
        <v>0</v>
      </c>
      <c r="AD145" s="130"/>
      <c r="AE145" s="131"/>
      <c r="AF145" s="135"/>
      <c r="AG145" s="133">
        <f t="shared" si="40"/>
        <v>0</v>
      </c>
      <c r="AH145" s="130"/>
      <c r="AI145" s="131"/>
      <c r="AJ145" s="135"/>
      <c r="AK145" s="133">
        <f t="shared" si="41"/>
        <v>0</v>
      </c>
      <c r="AL145" s="133">
        <f t="shared" si="42"/>
        <v>0</v>
      </c>
      <c r="AM145" s="38"/>
    </row>
    <row r="146" spans="1:39" ht="15" customHeight="1" x14ac:dyDescent="0.25">
      <c r="A146" s="104"/>
      <c r="B146" s="103">
        <v>141</v>
      </c>
      <c r="C146" s="196" t="s">
        <v>295</v>
      </c>
      <c r="D146" s="35" t="s">
        <v>161</v>
      </c>
      <c r="E146" s="54" t="s">
        <v>279</v>
      </c>
      <c r="F146" s="36" t="s">
        <v>33</v>
      </c>
      <c r="G146" s="36" t="s">
        <v>38</v>
      </c>
      <c r="I146" s="125">
        <v>266</v>
      </c>
      <c r="J146" s="126"/>
      <c r="K146" s="148">
        <v>1065</v>
      </c>
      <c r="L146" s="128">
        <f t="shared" si="34"/>
        <v>1331</v>
      </c>
      <c r="M146" s="125">
        <v>341</v>
      </c>
      <c r="N146" s="126"/>
      <c r="O146" s="148">
        <v>1364</v>
      </c>
      <c r="P146" s="128">
        <f t="shared" si="35"/>
        <v>1705</v>
      </c>
      <c r="Q146" s="125"/>
      <c r="R146" s="126"/>
      <c r="S146" s="148"/>
      <c r="T146" s="128">
        <f t="shared" si="36"/>
        <v>0</v>
      </c>
      <c r="U146" s="125"/>
      <c r="V146" s="126"/>
      <c r="W146" s="134"/>
      <c r="X146" s="128">
        <f t="shared" si="37"/>
        <v>0</v>
      </c>
      <c r="Y146" s="125"/>
      <c r="Z146" s="126"/>
      <c r="AA146" s="134"/>
      <c r="AB146" s="129">
        <f t="shared" si="38"/>
        <v>0</v>
      </c>
      <c r="AC146" s="209">
        <f t="shared" si="39"/>
        <v>1705</v>
      </c>
      <c r="AD146" s="130"/>
      <c r="AE146" s="131"/>
      <c r="AF146" s="135"/>
      <c r="AG146" s="133">
        <f t="shared" si="40"/>
        <v>0</v>
      </c>
      <c r="AH146" s="130"/>
      <c r="AI146" s="131"/>
      <c r="AJ146" s="135"/>
      <c r="AK146" s="133">
        <f t="shared" si="41"/>
        <v>0</v>
      </c>
      <c r="AL146" s="133">
        <f t="shared" si="42"/>
        <v>0</v>
      </c>
      <c r="AM146" s="38"/>
    </row>
    <row r="147" spans="1:39" ht="15" customHeight="1" x14ac:dyDescent="0.25">
      <c r="A147" s="104" t="e">
        <f>+#REF!</f>
        <v>#REF!</v>
      </c>
      <c r="B147" s="103">
        <v>142</v>
      </c>
      <c r="C147" s="196" t="s">
        <v>317</v>
      </c>
      <c r="D147" s="35" t="s">
        <v>161</v>
      </c>
      <c r="E147" s="36" t="s">
        <v>233</v>
      </c>
      <c r="F147" s="36" t="s">
        <v>26</v>
      </c>
      <c r="G147" s="36" t="s">
        <v>36</v>
      </c>
      <c r="I147" s="125">
        <f>2581*0.2</f>
        <v>516.20000000000005</v>
      </c>
      <c r="J147" s="126"/>
      <c r="K147" s="148">
        <f>2581*0.8</f>
        <v>2064.8000000000002</v>
      </c>
      <c r="L147" s="128">
        <f t="shared" si="34"/>
        <v>2581</v>
      </c>
      <c r="M147" s="125">
        <f>6366*0.2</f>
        <v>1273.2</v>
      </c>
      <c r="N147" s="126"/>
      <c r="O147" s="148">
        <f>6366*0.8</f>
        <v>5092.8</v>
      </c>
      <c r="P147" s="128">
        <f t="shared" si="35"/>
        <v>6366</v>
      </c>
      <c r="Q147" s="125">
        <f>5238*0.2</f>
        <v>1047.6000000000001</v>
      </c>
      <c r="R147" s="126"/>
      <c r="S147" s="148">
        <f>5238*0.8</f>
        <v>4190.4000000000005</v>
      </c>
      <c r="T147" s="128">
        <f t="shared" si="36"/>
        <v>5238.0000000000009</v>
      </c>
      <c r="U147" s="125">
        <f>852*0.2</f>
        <v>170.4</v>
      </c>
      <c r="V147" s="126"/>
      <c r="W147" s="134">
        <f>852*0.8</f>
        <v>681.6</v>
      </c>
      <c r="X147" s="128">
        <f t="shared" si="37"/>
        <v>852</v>
      </c>
      <c r="Y147" s="125"/>
      <c r="Z147" s="126"/>
      <c r="AA147" s="134"/>
      <c r="AB147" s="129">
        <f t="shared" si="38"/>
        <v>0</v>
      </c>
      <c r="AC147" s="209">
        <f t="shared" si="39"/>
        <v>12456</v>
      </c>
      <c r="AD147" s="130"/>
      <c r="AE147" s="131"/>
      <c r="AF147" s="135"/>
      <c r="AG147" s="133">
        <f t="shared" si="40"/>
        <v>0</v>
      </c>
      <c r="AH147" s="130"/>
      <c r="AI147" s="131"/>
      <c r="AJ147" s="135"/>
      <c r="AK147" s="133">
        <f t="shared" si="41"/>
        <v>0</v>
      </c>
      <c r="AL147" s="133">
        <f t="shared" si="42"/>
        <v>0</v>
      </c>
      <c r="AM147" s="38"/>
    </row>
    <row r="148" spans="1:39" ht="15" customHeight="1" x14ac:dyDescent="0.25">
      <c r="A148" s="104"/>
      <c r="B148" s="103">
        <v>143</v>
      </c>
      <c r="C148" s="196" t="s">
        <v>303</v>
      </c>
      <c r="D148" s="35" t="s">
        <v>161</v>
      </c>
      <c r="E148" s="36" t="s">
        <v>254</v>
      </c>
      <c r="F148" s="36" t="s">
        <v>33</v>
      </c>
      <c r="G148" s="36" t="s">
        <v>38</v>
      </c>
      <c r="I148" s="125"/>
      <c r="J148" s="126">
        <v>36</v>
      </c>
      <c r="K148" s="125">
        <v>36</v>
      </c>
      <c r="L148" s="128">
        <f t="shared" si="34"/>
        <v>72</v>
      </c>
      <c r="M148" s="125"/>
      <c r="N148" s="126"/>
      <c r="O148" s="125"/>
      <c r="P148" s="128">
        <f t="shared" si="35"/>
        <v>0</v>
      </c>
      <c r="Q148" s="125"/>
      <c r="R148" s="126"/>
      <c r="S148" s="125"/>
      <c r="T148" s="128">
        <f t="shared" si="36"/>
        <v>0</v>
      </c>
      <c r="U148" s="125"/>
      <c r="V148" s="126"/>
      <c r="W148" s="134"/>
      <c r="X148" s="128">
        <f t="shared" si="37"/>
        <v>0</v>
      </c>
      <c r="Y148" s="125"/>
      <c r="Z148" s="126"/>
      <c r="AA148" s="134"/>
      <c r="AB148" s="129">
        <f t="shared" si="38"/>
        <v>0</v>
      </c>
      <c r="AC148" s="209">
        <f t="shared" si="39"/>
        <v>0</v>
      </c>
      <c r="AD148" s="130"/>
      <c r="AE148" s="131"/>
      <c r="AF148" s="135"/>
      <c r="AG148" s="133">
        <f t="shared" si="40"/>
        <v>0</v>
      </c>
      <c r="AH148" s="130"/>
      <c r="AI148" s="131"/>
      <c r="AJ148" s="135"/>
      <c r="AK148" s="133">
        <f t="shared" si="41"/>
        <v>0</v>
      </c>
      <c r="AL148" s="133">
        <f t="shared" si="42"/>
        <v>0</v>
      </c>
      <c r="AM148" s="38"/>
    </row>
    <row r="149" spans="1:39" ht="15" customHeight="1" x14ac:dyDescent="0.25">
      <c r="A149" s="104" t="e">
        <f>+#REF!</f>
        <v>#REF!</v>
      </c>
      <c r="B149" s="103">
        <v>144</v>
      </c>
      <c r="C149" s="196" t="s">
        <v>318</v>
      </c>
      <c r="D149" s="35" t="s">
        <v>161</v>
      </c>
      <c r="E149" s="36" t="s">
        <v>175</v>
      </c>
      <c r="F149" s="36" t="s">
        <v>33</v>
      </c>
      <c r="G149" s="36" t="s">
        <v>38</v>
      </c>
      <c r="I149" s="125">
        <v>92</v>
      </c>
      <c r="J149" s="126">
        <v>92</v>
      </c>
      <c r="K149" s="148">
        <v>738</v>
      </c>
      <c r="L149" s="128">
        <f t="shared" si="34"/>
        <v>922</v>
      </c>
      <c r="M149" s="125">
        <v>92</v>
      </c>
      <c r="N149" s="126">
        <v>92</v>
      </c>
      <c r="O149" s="148">
        <v>738</v>
      </c>
      <c r="P149" s="128">
        <f t="shared" si="35"/>
        <v>922</v>
      </c>
      <c r="Q149" s="125">
        <v>92</v>
      </c>
      <c r="R149" s="126">
        <v>92</v>
      </c>
      <c r="S149" s="148">
        <v>738</v>
      </c>
      <c r="T149" s="128">
        <f t="shared" si="36"/>
        <v>922</v>
      </c>
      <c r="U149" s="125">
        <v>92</v>
      </c>
      <c r="V149" s="126">
        <v>92</v>
      </c>
      <c r="W149" s="134">
        <v>738</v>
      </c>
      <c r="X149" s="128">
        <f t="shared" si="37"/>
        <v>922</v>
      </c>
      <c r="Y149" s="125">
        <v>92</v>
      </c>
      <c r="Z149" s="126">
        <v>92</v>
      </c>
      <c r="AA149" s="134">
        <v>738</v>
      </c>
      <c r="AB149" s="129">
        <f t="shared" si="38"/>
        <v>922</v>
      </c>
      <c r="AC149" s="209">
        <f t="shared" si="39"/>
        <v>3688</v>
      </c>
      <c r="AD149" s="130"/>
      <c r="AE149" s="131"/>
      <c r="AF149" s="135"/>
      <c r="AG149" s="133">
        <f t="shared" si="40"/>
        <v>0</v>
      </c>
      <c r="AH149" s="130"/>
      <c r="AI149" s="131"/>
      <c r="AJ149" s="135"/>
      <c r="AK149" s="133">
        <f t="shared" si="41"/>
        <v>0</v>
      </c>
      <c r="AL149" s="133">
        <f t="shared" si="42"/>
        <v>0</v>
      </c>
      <c r="AM149" s="38"/>
    </row>
    <row r="150" spans="1:39" ht="15" customHeight="1" x14ac:dyDescent="0.25">
      <c r="A150" s="104" t="e">
        <f>+#REF!</f>
        <v>#REF!</v>
      </c>
      <c r="B150" s="103">
        <v>145</v>
      </c>
      <c r="C150" s="196" t="s">
        <v>174</v>
      </c>
      <c r="D150" s="35" t="s">
        <v>161</v>
      </c>
      <c r="E150" s="36" t="s">
        <v>177</v>
      </c>
      <c r="F150" s="36" t="s">
        <v>33</v>
      </c>
      <c r="G150" s="36" t="s">
        <v>38</v>
      </c>
      <c r="I150" s="125">
        <v>312</v>
      </c>
      <c r="J150" s="126">
        <v>195</v>
      </c>
      <c r="K150" s="134">
        <v>159</v>
      </c>
      <c r="L150" s="128">
        <f t="shared" si="34"/>
        <v>666</v>
      </c>
      <c r="M150" s="125">
        <v>312</v>
      </c>
      <c r="N150" s="126">
        <v>195</v>
      </c>
      <c r="O150" s="134">
        <v>159</v>
      </c>
      <c r="P150" s="128">
        <f t="shared" si="35"/>
        <v>666</v>
      </c>
      <c r="Q150" s="125">
        <v>312</v>
      </c>
      <c r="R150" s="126">
        <v>195</v>
      </c>
      <c r="S150" s="134">
        <v>159</v>
      </c>
      <c r="T150" s="128">
        <f t="shared" si="36"/>
        <v>666</v>
      </c>
      <c r="U150" s="125">
        <v>312</v>
      </c>
      <c r="V150" s="126">
        <v>195</v>
      </c>
      <c r="W150" s="134">
        <v>159</v>
      </c>
      <c r="X150" s="128">
        <f t="shared" si="37"/>
        <v>666</v>
      </c>
      <c r="Y150" s="125">
        <v>312</v>
      </c>
      <c r="Z150" s="126">
        <v>195</v>
      </c>
      <c r="AA150" s="134">
        <v>159</v>
      </c>
      <c r="AB150" s="129">
        <f t="shared" si="38"/>
        <v>666</v>
      </c>
      <c r="AC150" s="209">
        <f t="shared" si="39"/>
        <v>2664</v>
      </c>
      <c r="AD150" s="130"/>
      <c r="AE150" s="131"/>
      <c r="AF150" s="135"/>
      <c r="AG150" s="133">
        <f t="shared" si="40"/>
        <v>0</v>
      </c>
      <c r="AH150" s="130"/>
      <c r="AI150" s="131"/>
      <c r="AJ150" s="135"/>
      <c r="AK150" s="133">
        <f t="shared" si="41"/>
        <v>0</v>
      </c>
      <c r="AL150" s="133">
        <f t="shared" si="42"/>
        <v>0</v>
      </c>
      <c r="AM150" s="38"/>
    </row>
    <row r="151" spans="1:39" ht="15" customHeight="1" x14ac:dyDescent="0.25">
      <c r="A151" s="104"/>
      <c r="B151" s="103">
        <v>146</v>
      </c>
      <c r="C151" s="196" t="s">
        <v>316</v>
      </c>
      <c r="D151" s="35" t="s">
        <v>161</v>
      </c>
      <c r="E151" s="54" t="s">
        <v>280</v>
      </c>
      <c r="F151" s="36" t="s">
        <v>26</v>
      </c>
      <c r="G151" s="36" t="s">
        <v>38</v>
      </c>
      <c r="I151" s="125"/>
      <c r="J151" s="126"/>
      <c r="K151" s="134">
        <v>4000</v>
      </c>
      <c r="L151" s="128">
        <f t="shared" si="34"/>
        <v>4000</v>
      </c>
      <c r="M151" s="125"/>
      <c r="N151" s="126"/>
      <c r="O151" s="134">
        <v>7500</v>
      </c>
      <c r="P151" s="128">
        <f t="shared" si="35"/>
        <v>7500</v>
      </c>
      <c r="Q151" s="125"/>
      <c r="R151" s="126"/>
      <c r="S151" s="134">
        <v>6500</v>
      </c>
      <c r="T151" s="128">
        <f t="shared" si="36"/>
        <v>6500</v>
      </c>
      <c r="U151" s="125"/>
      <c r="V151" s="126"/>
      <c r="W151" s="134">
        <v>3337</v>
      </c>
      <c r="X151" s="128">
        <f t="shared" si="37"/>
        <v>3337</v>
      </c>
      <c r="Y151" s="125"/>
      <c r="Z151" s="126"/>
      <c r="AA151" s="134">
        <v>500</v>
      </c>
      <c r="AB151" s="129">
        <f t="shared" si="38"/>
        <v>500</v>
      </c>
      <c r="AC151" s="209">
        <f t="shared" si="39"/>
        <v>17837</v>
      </c>
      <c r="AD151" s="130"/>
      <c r="AE151" s="131"/>
      <c r="AF151" s="135"/>
      <c r="AG151" s="133">
        <f t="shared" si="40"/>
        <v>0</v>
      </c>
      <c r="AH151" s="130"/>
      <c r="AI151" s="131"/>
      <c r="AJ151" s="135"/>
      <c r="AK151" s="133">
        <f t="shared" si="41"/>
        <v>0</v>
      </c>
      <c r="AL151" s="133">
        <f t="shared" si="42"/>
        <v>0</v>
      </c>
      <c r="AM151" s="38"/>
    </row>
    <row r="152" spans="1:39" ht="15" customHeight="1" x14ac:dyDescent="0.25">
      <c r="A152" s="104"/>
      <c r="B152" s="103">
        <v>147</v>
      </c>
      <c r="C152" s="198" t="s">
        <v>163</v>
      </c>
      <c r="D152" s="35" t="s">
        <v>161</v>
      </c>
      <c r="E152" s="57" t="s">
        <v>287</v>
      </c>
      <c r="F152" s="56" t="s">
        <v>26</v>
      </c>
      <c r="G152" s="56" t="s">
        <v>36</v>
      </c>
      <c r="I152" s="149"/>
      <c r="J152" s="150"/>
      <c r="K152" s="151"/>
      <c r="L152" s="152">
        <f t="shared" si="34"/>
        <v>0</v>
      </c>
      <c r="M152" s="149"/>
      <c r="N152" s="150">
        <f>619*0.2</f>
        <v>123.80000000000001</v>
      </c>
      <c r="O152" s="151">
        <f>619*0.8</f>
        <v>495.20000000000005</v>
      </c>
      <c r="P152" s="128">
        <f t="shared" si="35"/>
        <v>619</v>
      </c>
      <c r="Q152" s="149"/>
      <c r="R152" s="150">
        <f>2437*0.2</f>
        <v>487.40000000000003</v>
      </c>
      <c r="S152" s="151">
        <f>2437*0.8</f>
        <v>1949.6000000000001</v>
      </c>
      <c r="T152" s="128">
        <f t="shared" si="36"/>
        <v>2437</v>
      </c>
      <c r="U152" s="149"/>
      <c r="V152" s="150"/>
      <c r="W152" s="151"/>
      <c r="X152" s="128">
        <f t="shared" si="37"/>
        <v>0</v>
      </c>
      <c r="Y152" s="149"/>
      <c r="Z152" s="150"/>
      <c r="AA152" s="151"/>
      <c r="AB152" s="129">
        <f t="shared" si="38"/>
        <v>0</v>
      </c>
      <c r="AC152" s="213">
        <f t="shared" si="39"/>
        <v>3056</v>
      </c>
      <c r="AD152" s="153"/>
      <c r="AE152" s="154"/>
      <c r="AF152" s="155"/>
      <c r="AG152" s="156"/>
      <c r="AH152" s="153"/>
      <c r="AI152" s="154"/>
      <c r="AJ152" s="155"/>
      <c r="AK152" s="156"/>
      <c r="AL152" s="133">
        <f t="shared" si="42"/>
        <v>0</v>
      </c>
      <c r="AM152" s="38"/>
    </row>
    <row r="153" spans="1:39" ht="15" customHeight="1" thickBot="1" x14ac:dyDescent="0.3">
      <c r="B153" s="103">
        <v>148</v>
      </c>
      <c r="C153" s="55"/>
      <c r="D153" s="58"/>
      <c r="E153" s="56"/>
      <c r="F153" s="56"/>
      <c r="G153" s="58"/>
      <c r="I153" s="157"/>
      <c r="J153" s="157"/>
      <c r="K153" s="158"/>
      <c r="L153" s="159"/>
      <c r="M153" s="160"/>
      <c r="N153" s="157"/>
      <c r="O153" s="157"/>
      <c r="P153" s="159"/>
      <c r="Q153" s="157"/>
      <c r="R153" s="157"/>
      <c r="S153" s="157"/>
      <c r="T153" s="159"/>
      <c r="U153" s="157"/>
      <c r="V153" s="157"/>
      <c r="W153" s="157"/>
      <c r="X153" s="129"/>
      <c r="Y153" s="157"/>
      <c r="Z153" s="157"/>
      <c r="AA153" s="157"/>
      <c r="AB153" s="161"/>
      <c r="AC153" s="214"/>
      <c r="AD153" s="162"/>
      <c r="AE153" s="163"/>
      <c r="AF153" s="163"/>
      <c r="AG153" s="164"/>
      <c r="AH153" s="163"/>
      <c r="AI153" s="163"/>
      <c r="AJ153" s="163"/>
      <c r="AK153" s="164"/>
      <c r="AL153" s="164"/>
      <c r="AM153" s="52"/>
    </row>
    <row r="154" spans="1:39" s="63" customFormat="1" ht="15" customHeight="1" x14ac:dyDescent="0.25">
      <c r="A154" s="104" t="e">
        <f>+#REF!</f>
        <v>#REF!</v>
      </c>
      <c r="B154" s="184">
        <v>149</v>
      </c>
      <c r="C154" s="59"/>
      <c r="D154" s="60"/>
      <c r="E154" s="61" t="s">
        <v>178</v>
      </c>
      <c r="F154" s="61"/>
      <c r="G154" s="61"/>
      <c r="H154" s="165"/>
      <c r="I154" s="166">
        <f>SUM(I7:I34)</f>
        <v>24141.01671</v>
      </c>
      <c r="J154" s="166">
        <f>SUM(J7:J34)</f>
        <v>702.81700000000001</v>
      </c>
      <c r="K154" s="166">
        <f>SUM(K7:K34)</f>
        <v>39868.615579999998</v>
      </c>
      <c r="L154" s="167">
        <f>SUM(I154+J154+K154)</f>
        <v>64712.449289999997</v>
      </c>
      <c r="M154" s="166">
        <f>SUM(M7:M34)</f>
        <v>144967.36502</v>
      </c>
      <c r="N154" s="166">
        <f>SUM(N7:N34)</f>
        <v>2960</v>
      </c>
      <c r="O154" s="166">
        <f>SUM(O7:O34)</f>
        <v>49607.501350000006</v>
      </c>
      <c r="P154" s="167">
        <f>SUM(M154+N154+O154)</f>
        <v>197534.86637</v>
      </c>
      <c r="Q154" s="166">
        <f>SUM(Q7:Q34)</f>
        <v>154463.44099999999</v>
      </c>
      <c r="R154" s="166">
        <f>SUM(R7:R34)</f>
        <v>960</v>
      </c>
      <c r="S154" s="166">
        <f>SUM(S7:S34)</f>
        <v>49002.69978000001</v>
      </c>
      <c r="T154" s="167">
        <f>SUM(Q154+R154+S154)</f>
        <v>204426.14078000002</v>
      </c>
      <c r="U154" s="166">
        <f>SUM(U7:U34)</f>
        <v>155064.14188000001</v>
      </c>
      <c r="V154" s="166">
        <f>SUM(V7:V34)</f>
        <v>960</v>
      </c>
      <c r="W154" s="166">
        <f>SUM(W7:W34)</f>
        <v>63943.469000000005</v>
      </c>
      <c r="X154" s="167">
        <f>SUM(U154+V154+W154)</f>
        <v>219967.61088000002</v>
      </c>
      <c r="Y154" s="166">
        <f>SUM(Y7:Y34)</f>
        <v>149514.78278000001</v>
      </c>
      <c r="Z154" s="166">
        <f>SUM(Z7:Z34)</f>
        <v>960</v>
      </c>
      <c r="AA154" s="166">
        <f>SUM(AA7:AA34)</f>
        <v>56742.598000000005</v>
      </c>
      <c r="AB154" s="203">
        <f>SUM(Y154+Z154+AA154)</f>
        <v>207217.38078000001</v>
      </c>
      <c r="AC154" s="215">
        <f>+AB154+X154+T154+P154</f>
        <v>829145.99881000002</v>
      </c>
      <c r="AD154" s="168">
        <f>SUM(AD7:AD34)</f>
        <v>144939.78278000001</v>
      </c>
      <c r="AE154" s="168">
        <f>SUM(AE7:AE34)</f>
        <v>960</v>
      </c>
      <c r="AF154" s="168">
        <f>SUM(AF7:AF34)</f>
        <v>55742.598000000005</v>
      </c>
      <c r="AG154" s="169">
        <f>+AD154+AE154+AF154</f>
        <v>201642.38078000001</v>
      </c>
      <c r="AH154" s="168">
        <f>SUM(AH7:AH34)</f>
        <v>139939.78278000001</v>
      </c>
      <c r="AI154" s="168">
        <f>SUM(AI7:AI34)</f>
        <v>270</v>
      </c>
      <c r="AJ154" s="168">
        <f>SUM(AJ7:AJ34)</f>
        <v>55156.242000000006</v>
      </c>
      <c r="AK154" s="169">
        <f>+AH154+AI154+AJ154</f>
        <v>195366.02478000001</v>
      </c>
      <c r="AL154" s="169">
        <f>+AK154+AG154</f>
        <v>397008.40555999998</v>
      </c>
      <c r="AM154" s="62"/>
    </row>
    <row r="155" spans="1:39" ht="15" customHeight="1" x14ac:dyDescent="0.25">
      <c r="A155" s="104" t="e">
        <f>+#REF!</f>
        <v>#REF!</v>
      </c>
      <c r="B155" s="184">
        <v>150</v>
      </c>
      <c r="C155" s="34"/>
      <c r="D155" s="35"/>
      <c r="E155" s="36" t="s">
        <v>179</v>
      </c>
      <c r="F155" s="36"/>
      <c r="G155" s="36"/>
      <c r="I155" s="125">
        <f>SUM(I37:I134)</f>
        <v>54137.422999999995</v>
      </c>
      <c r="J155" s="125">
        <f>SUM(J37:J134)</f>
        <v>25651.906999999999</v>
      </c>
      <c r="K155" s="125">
        <f>SUM(K37:K134)</f>
        <v>158873.29800000001</v>
      </c>
      <c r="L155" s="128">
        <f>SUM(I155+J155+K155)</f>
        <v>238662.628</v>
      </c>
      <c r="M155" s="125">
        <f>SUM(M37:M134)</f>
        <v>26459.018000000004</v>
      </c>
      <c r="N155" s="125">
        <f>SUM(N37:N134)</f>
        <v>140881.96900000001</v>
      </c>
      <c r="O155" s="125">
        <f>SUM(O37:O134)</f>
        <v>100103.053</v>
      </c>
      <c r="P155" s="128">
        <f>SUM(M155+N155+O155)</f>
        <v>267444.04000000004</v>
      </c>
      <c r="Q155" s="125">
        <f>SUM(Q37:Q134)</f>
        <v>22103.365999999998</v>
      </c>
      <c r="R155" s="125">
        <f>SUM(R37:R134)</f>
        <v>145797.717</v>
      </c>
      <c r="S155" s="125">
        <f>SUM(S37:S134)</f>
        <v>93872.708999999988</v>
      </c>
      <c r="T155" s="128">
        <f>SUM(Q155+R155+S155)</f>
        <v>261773.79200000002</v>
      </c>
      <c r="U155" s="125">
        <f>SUM(U37:U134)</f>
        <v>32052</v>
      </c>
      <c r="V155" s="125">
        <f>SUM(V37:V134)</f>
        <v>78290</v>
      </c>
      <c r="W155" s="125">
        <f>SUM(W37:W134)</f>
        <v>97387.90800000001</v>
      </c>
      <c r="X155" s="128">
        <f>SUM(U155+V155+W155)</f>
        <v>207729.908</v>
      </c>
      <c r="Y155" s="125">
        <f>SUM(Y37:Y134)</f>
        <v>25309.019999999997</v>
      </c>
      <c r="Z155" s="125">
        <f>SUM(Z37:Z134)</f>
        <v>58865.5</v>
      </c>
      <c r="AA155" s="125">
        <f>SUM(AA37:AA134)</f>
        <v>102655.91799999999</v>
      </c>
      <c r="AB155" s="129">
        <f>SUM(Y155+Z155+AA155)</f>
        <v>186830.43799999997</v>
      </c>
      <c r="AC155" s="210">
        <f>+AB155+X155+P155+T155</f>
        <v>923778.17799999996</v>
      </c>
      <c r="AD155" s="130">
        <f>SUM(AD37:AD134)</f>
        <v>15469.3</v>
      </c>
      <c r="AE155" s="130">
        <f>SUM(AE37:AE134)</f>
        <v>57365.5</v>
      </c>
      <c r="AF155" s="130">
        <f>SUM(AF37:AF134)</f>
        <v>73369.728000000003</v>
      </c>
      <c r="AG155" s="133">
        <f>+AD155+AE155+AF155</f>
        <v>146204.52799999999</v>
      </c>
      <c r="AH155" s="130">
        <f>SUM(AH37:AH134)</f>
        <v>19865</v>
      </c>
      <c r="AI155" s="130">
        <f>SUM(AI37:AI134)</f>
        <v>1310</v>
      </c>
      <c r="AJ155" s="130">
        <f>SUM(AJ37:AJ134)</f>
        <v>62073.262999999999</v>
      </c>
      <c r="AK155" s="133">
        <f>+AH155+AI155+AJ155</f>
        <v>83248.263000000006</v>
      </c>
      <c r="AL155" s="133">
        <f>+AK155+AG155</f>
        <v>229452.791</v>
      </c>
      <c r="AM155" s="38"/>
    </row>
    <row r="156" spans="1:39" ht="15" customHeight="1" thickBot="1" x14ac:dyDescent="0.3">
      <c r="A156" s="104" t="e">
        <f>+#REF!</f>
        <v>#REF!</v>
      </c>
      <c r="B156" s="184">
        <v>151</v>
      </c>
      <c r="C156" s="55"/>
      <c r="D156" s="58"/>
      <c r="E156" s="56" t="s">
        <v>180</v>
      </c>
      <c r="F156" s="56"/>
      <c r="G156" s="56"/>
      <c r="I156" s="149">
        <f>+SUM(I137:I152)</f>
        <v>4953.2</v>
      </c>
      <c r="J156" s="149">
        <f>+SUM(J137:J152)</f>
        <v>1160</v>
      </c>
      <c r="K156" s="149">
        <f>+SUM(K137:K152)</f>
        <v>26147.8</v>
      </c>
      <c r="L156" s="152">
        <f>SUM(I156+J156+K156)</f>
        <v>32261</v>
      </c>
      <c r="M156" s="149">
        <f>+SUM(M137:M152)</f>
        <v>6256.2</v>
      </c>
      <c r="N156" s="149">
        <f>+SUM(N137:N152)</f>
        <v>410.8</v>
      </c>
      <c r="O156" s="149">
        <f>+SUM(O137:O152)</f>
        <v>33501</v>
      </c>
      <c r="P156" s="128">
        <f>SUM(M156+N156+O156)</f>
        <v>40168</v>
      </c>
      <c r="Q156" s="149">
        <f>+SUM(Q137:Q152)</f>
        <v>5644.6</v>
      </c>
      <c r="R156" s="149">
        <f>+SUM(R137:R152)</f>
        <v>774.40000000000009</v>
      </c>
      <c r="S156" s="149">
        <f>+SUM(S137:S152)</f>
        <v>30669</v>
      </c>
      <c r="T156" s="128">
        <f>SUM(Q156+R156+S156)</f>
        <v>37088</v>
      </c>
      <c r="U156" s="149">
        <f>+SUM(U137:U152)</f>
        <v>4245.3999999999996</v>
      </c>
      <c r="V156" s="149">
        <f>+SUM(V137:V152)</f>
        <v>287</v>
      </c>
      <c r="W156" s="149">
        <f>+SUM(W137:W152)</f>
        <v>19599.599999999999</v>
      </c>
      <c r="X156" s="128">
        <f>SUM(U156+V156+W156)</f>
        <v>24132</v>
      </c>
      <c r="Y156" s="149">
        <f>+SUM(Y137:Y152)</f>
        <v>404</v>
      </c>
      <c r="Z156" s="149">
        <f>+SUM(Z137:Z152)</f>
        <v>287</v>
      </c>
      <c r="AA156" s="149">
        <f>+SUM(AA137:AA152)</f>
        <v>1397</v>
      </c>
      <c r="AB156" s="129">
        <f>SUM(Y156+Z156+AA156)</f>
        <v>2088</v>
      </c>
      <c r="AC156" s="216">
        <f>+AB156+X156+P156+T156</f>
        <v>103476</v>
      </c>
      <c r="AD156" s="153">
        <f>+SUM(AD137:AD152)</f>
        <v>0</v>
      </c>
      <c r="AE156" s="153">
        <f>+SUM(AE137:AE152)</f>
        <v>0</v>
      </c>
      <c r="AF156" s="153">
        <f>+SUM(AF137:AF152)</f>
        <v>0</v>
      </c>
      <c r="AG156" s="133">
        <f t="shared" ref="AG156" si="43">+AD156+AE156+AF156</f>
        <v>0</v>
      </c>
      <c r="AH156" s="153">
        <f>+SUM(AH137:AH152)</f>
        <v>0</v>
      </c>
      <c r="AI156" s="153">
        <f>+SUM(AI137:AI152)</f>
        <v>0</v>
      </c>
      <c r="AJ156" s="153">
        <f>+SUM(AJ137:AJ152)</f>
        <v>0</v>
      </c>
      <c r="AK156" s="133">
        <f t="shared" ref="AK156" si="44">+AH156+AI156+AJ156</f>
        <v>0</v>
      </c>
      <c r="AL156" s="164">
        <f>+AK156+AG156</f>
        <v>0</v>
      </c>
      <c r="AM156" s="38"/>
    </row>
    <row r="157" spans="1:39" s="68" customFormat="1" ht="15" customHeight="1" thickBot="1" x14ac:dyDescent="0.3">
      <c r="A157" s="104" t="e">
        <f>+#REF!</f>
        <v>#REF!</v>
      </c>
      <c r="B157" s="184">
        <v>152</v>
      </c>
      <c r="C157" s="64"/>
      <c r="D157" s="65"/>
      <c r="E157" s="66" t="s">
        <v>181</v>
      </c>
      <c r="F157" s="66"/>
      <c r="G157" s="66"/>
      <c r="H157" s="170"/>
      <c r="I157" s="171">
        <f>SUM(I154:I156)</f>
        <v>83231.639709999989</v>
      </c>
      <c r="J157" s="172">
        <f>SUM(J154:J156)</f>
        <v>27514.723999999998</v>
      </c>
      <c r="K157" s="173">
        <f>SUM(K154:K156)</f>
        <v>224889.71357999998</v>
      </c>
      <c r="L157" s="174">
        <f>SUM(I157+J157+K157)</f>
        <v>335636.07728999999</v>
      </c>
      <c r="M157" s="171">
        <f>SUM(M154:M156)</f>
        <v>177682.58302000002</v>
      </c>
      <c r="N157" s="172">
        <f>SUM(N154:N156)</f>
        <v>144252.769</v>
      </c>
      <c r="O157" s="173">
        <f>SUM(O154:O156)</f>
        <v>183211.55434999999</v>
      </c>
      <c r="P157" s="174">
        <f>SUM(M157+N157+O157)</f>
        <v>505146.90636999998</v>
      </c>
      <c r="Q157" s="171">
        <f>SUM(Q154:Q156)</f>
        <v>182211.40700000001</v>
      </c>
      <c r="R157" s="172">
        <f>SUM(R154:R156)</f>
        <v>147532.117</v>
      </c>
      <c r="S157" s="173">
        <f>SUM(S154:S156)</f>
        <v>173544.40878</v>
      </c>
      <c r="T157" s="174">
        <f>SUM(Q157+R157+S157)</f>
        <v>503287.93277999997</v>
      </c>
      <c r="U157" s="171">
        <f>SUM(U154:U156)</f>
        <v>191361.54188</v>
      </c>
      <c r="V157" s="172">
        <f>SUM(V154:V156)</f>
        <v>79537</v>
      </c>
      <c r="W157" s="173">
        <f>SUM(W154:W156)</f>
        <v>180930.97700000001</v>
      </c>
      <c r="X157" s="174">
        <f>SUM(U157+V157+W157)</f>
        <v>451829.51888000005</v>
      </c>
      <c r="Y157" s="171">
        <f>SUM(Y154:Y156)</f>
        <v>175227.80278</v>
      </c>
      <c r="Z157" s="172">
        <f>SUM(Z154:Z156)</f>
        <v>60112.5</v>
      </c>
      <c r="AA157" s="173">
        <f>SUM(AA154:AA156)</f>
        <v>160795.516</v>
      </c>
      <c r="AB157" s="204">
        <f>SUM(Y157+Z157+AA157)</f>
        <v>396135.81877999997</v>
      </c>
      <c r="AC157" s="217">
        <f>+AB157+X157+P157+T157</f>
        <v>1856400.1768099999</v>
      </c>
      <c r="AD157" s="175">
        <f>SUM(AD154:AD156)</f>
        <v>160409.08278</v>
      </c>
      <c r="AE157" s="176">
        <f>SUM(AE154:AE156)</f>
        <v>58325.5</v>
      </c>
      <c r="AF157" s="177">
        <f>SUM(AF154:AF156)</f>
        <v>129112.326</v>
      </c>
      <c r="AG157" s="178">
        <f>SUM(AD157+AE157+AF157)</f>
        <v>347846.90878</v>
      </c>
      <c r="AH157" s="175">
        <f>SUM(AH154:AH156)</f>
        <v>159804.78278000001</v>
      </c>
      <c r="AI157" s="176">
        <f>SUM(AI154:AI156)</f>
        <v>1580</v>
      </c>
      <c r="AJ157" s="177">
        <f>SUM(AJ154:AJ156)</f>
        <v>117229.505</v>
      </c>
      <c r="AK157" s="178">
        <f>SUM(AH157+AI157+AJ157)</f>
        <v>278614.28778000001</v>
      </c>
      <c r="AL157" s="178">
        <f>+AK157+AG157</f>
        <v>626461.19656000007</v>
      </c>
      <c r="AM157" s="67"/>
    </row>
    <row r="158" spans="1:39" ht="13.5" customHeight="1" x14ac:dyDescent="0.25">
      <c r="B158" s="69"/>
      <c r="C158" s="70"/>
      <c r="D158" s="4"/>
      <c r="E158" s="71"/>
      <c r="F158" s="72"/>
      <c r="G158" s="72"/>
      <c r="H158" s="99"/>
      <c r="I158" s="179"/>
      <c r="AB158" s="180"/>
      <c r="AC158" s="218"/>
      <c r="AD158" s="181"/>
      <c r="AM158" s="12"/>
    </row>
    <row r="159" spans="1:39" ht="15" customHeight="1" x14ac:dyDescent="0.25">
      <c r="B159" s="69"/>
      <c r="C159" s="70"/>
      <c r="D159" s="4"/>
      <c r="E159" s="199"/>
      <c r="F159" s="199"/>
      <c r="G159" s="75"/>
      <c r="H159" s="99"/>
      <c r="I159" s="179"/>
      <c r="AM159" s="12"/>
    </row>
    <row r="160" spans="1:39" ht="15" customHeight="1" x14ac:dyDescent="0.25">
      <c r="A160" s="76"/>
      <c r="B160" s="77"/>
      <c r="C160" s="78"/>
      <c r="D160" s="79" t="s">
        <v>206</v>
      </c>
      <c r="E160" s="5" t="s">
        <v>206</v>
      </c>
      <c r="F160" s="80"/>
      <c r="G160" s="81"/>
      <c r="H160" s="99"/>
      <c r="I160" s="179"/>
    </row>
    <row r="161" spans="1:10" ht="15" hidden="1" customHeight="1" thickBot="1" x14ac:dyDescent="0.3">
      <c r="A161" s="82"/>
      <c r="B161" s="83"/>
      <c r="C161" s="84"/>
      <c r="D161" s="3"/>
      <c r="E161" s="6" t="s">
        <v>212</v>
      </c>
      <c r="F161" s="76"/>
      <c r="G161" s="75"/>
      <c r="H161" s="99"/>
      <c r="I161" s="179"/>
    </row>
    <row r="162" spans="1:10" ht="15" hidden="1" customHeight="1" x14ac:dyDescent="0.25">
      <c r="A162" s="76"/>
      <c r="B162" s="85"/>
      <c r="C162" s="86"/>
      <c r="D162" s="4"/>
      <c r="E162" s="7" t="s">
        <v>207</v>
      </c>
      <c r="F162" s="87"/>
      <c r="G162" s="73"/>
      <c r="H162" s="99"/>
      <c r="I162" s="179"/>
    </row>
    <row r="163" spans="1:10" ht="5.25" customHeight="1" x14ac:dyDescent="0.25">
      <c r="A163" s="76"/>
      <c r="B163" s="88"/>
      <c r="C163" s="76"/>
      <c r="D163" s="4"/>
      <c r="E163" s="7"/>
      <c r="F163" s="87"/>
      <c r="G163" s="73"/>
      <c r="H163" s="99"/>
      <c r="I163" s="179"/>
    </row>
    <row r="164" spans="1:10" ht="15" customHeight="1" x14ac:dyDescent="0.25">
      <c r="A164" s="89"/>
      <c r="B164" s="90"/>
      <c r="C164" s="91"/>
      <c r="D164" s="4" t="s">
        <v>182</v>
      </c>
      <c r="E164" s="7" t="s">
        <v>281</v>
      </c>
      <c r="F164" s="89"/>
      <c r="G164" s="73"/>
      <c r="H164" s="99"/>
      <c r="I164" s="179"/>
    </row>
    <row r="165" spans="1:10" ht="6.75" customHeight="1" x14ac:dyDescent="0.25">
      <c r="A165" s="87"/>
      <c r="B165" s="92"/>
      <c r="C165" s="93"/>
      <c r="D165" s="4"/>
      <c r="E165" s="7"/>
      <c r="F165" s="87"/>
      <c r="G165" s="73"/>
      <c r="H165" s="99"/>
      <c r="I165" s="179"/>
    </row>
    <row r="166" spans="1:10" ht="15" customHeight="1" x14ac:dyDescent="0.25">
      <c r="A166" s="87"/>
      <c r="B166" s="94"/>
      <c r="C166" s="95"/>
      <c r="D166" s="96" t="s">
        <v>183</v>
      </c>
      <c r="E166" s="8" t="s">
        <v>282</v>
      </c>
      <c r="F166" s="97"/>
      <c r="G166" s="98"/>
      <c r="H166" s="99"/>
      <c r="I166" s="179"/>
    </row>
    <row r="167" spans="1:10" ht="15" customHeight="1" x14ac:dyDescent="0.25">
      <c r="B167" s="19"/>
      <c r="E167" s="99"/>
      <c r="F167" s="99"/>
      <c r="G167" s="99"/>
      <c r="H167" s="99"/>
      <c r="I167" s="179"/>
    </row>
    <row r="168" spans="1:10" ht="15" customHeight="1" x14ac:dyDescent="0.25">
      <c r="A168" s="100"/>
      <c r="B168" s="19"/>
      <c r="E168" s="99"/>
      <c r="F168" s="101"/>
      <c r="G168" s="73"/>
      <c r="H168" s="99"/>
      <c r="I168" s="179"/>
    </row>
    <row r="169" spans="1:10" ht="15" customHeight="1" x14ac:dyDescent="0.25">
      <c r="B169" s="69"/>
      <c r="E169" s="74"/>
      <c r="F169" s="74"/>
      <c r="G169" s="74"/>
      <c r="H169" s="99"/>
      <c r="I169" s="179"/>
      <c r="J169" s="179"/>
    </row>
    <row r="170" spans="1:10" ht="15" customHeight="1" x14ac:dyDescent="0.25">
      <c r="B170" s="69"/>
      <c r="E170" s="74"/>
      <c r="F170" s="74"/>
      <c r="G170" s="73"/>
      <c r="H170" s="99"/>
      <c r="I170" s="179"/>
      <c r="J170" s="179"/>
    </row>
    <row r="171" spans="1:10" ht="15" customHeight="1" x14ac:dyDescent="0.25">
      <c r="B171" s="69"/>
      <c r="E171" s="74"/>
      <c r="F171" s="74"/>
      <c r="G171" s="74"/>
      <c r="H171" s="99"/>
      <c r="I171" s="179"/>
      <c r="J171" s="179"/>
    </row>
    <row r="172" spans="1:10" ht="15" customHeight="1" x14ac:dyDescent="0.25">
      <c r="B172" s="69"/>
      <c r="E172" s="74"/>
      <c r="F172" s="74"/>
      <c r="G172" s="74"/>
      <c r="H172" s="99"/>
      <c r="I172" s="179"/>
      <c r="J172" s="179"/>
    </row>
    <row r="173" spans="1:10" ht="15" customHeight="1" x14ac:dyDescent="0.25">
      <c r="B173" s="69"/>
      <c r="E173" s="74"/>
      <c r="F173" s="74"/>
      <c r="G173" s="74"/>
      <c r="H173" s="99"/>
      <c r="I173" s="179"/>
      <c r="J173" s="179"/>
    </row>
    <row r="174" spans="1:10" ht="15" customHeight="1" x14ac:dyDescent="0.25">
      <c r="B174" s="69"/>
      <c r="E174" s="74"/>
      <c r="F174" s="74"/>
      <c r="G174" s="74"/>
      <c r="H174" s="99"/>
      <c r="I174" s="179"/>
      <c r="J174" s="179"/>
    </row>
    <row r="175" spans="1:10" ht="15" customHeight="1" x14ac:dyDescent="0.25">
      <c r="B175" s="69"/>
    </row>
    <row r="176" spans="1:10" ht="15" customHeight="1" x14ac:dyDescent="0.25">
      <c r="B176" s="69"/>
    </row>
    <row r="177" spans="1:112" ht="15" customHeight="1" x14ac:dyDescent="0.25">
      <c r="B177" s="69"/>
    </row>
    <row r="178" spans="1:112" ht="15" customHeight="1" x14ac:dyDescent="0.25">
      <c r="B178" s="69"/>
    </row>
    <row r="179" spans="1:112" ht="15" customHeight="1" x14ac:dyDescent="0.25">
      <c r="B179" s="69"/>
    </row>
    <row r="180" spans="1:112" ht="15" customHeight="1" x14ac:dyDescent="0.25">
      <c r="B180" s="69"/>
    </row>
    <row r="181" spans="1:112" ht="15" customHeight="1" x14ac:dyDescent="0.25">
      <c r="B181" s="69"/>
    </row>
    <row r="182" spans="1:112" ht="15" customHeight="1" x14ac:dyDescent="0.25">
      <c r="B182" s="69"/>
    </row>
    <row r="183" spans="1:112" ht="15" customHeight="1" x14ac:dyDescent="0.25">
      <c r="B183" s="69"/>
    </row>
    <row r="184" spans="1:112" ht="15" customHeight="1" x14ac:dyDescent="0.25">
      <c r="B184" s="69"/>
    </row>
    <row r="185" spans="1:112" ht="15" customHeight="1" x14ac:dyDescent="0.25">
      <c r="B185" s="69"/>
    </row>
    <row r="186" spans="1:112" ht="15" customHeight="1" x14ac:dyDescent="0.25">
      <c r="B186" s="69"/>
    </row>
    <row r="187" spans="1:112" ht="15" customHeight="1" x14ac:dyDescent="0.25">
      <c r="B187" s="69"/>
    </row>
    <row r="188" spans="1:112" ht="15" customHeight="1" x14ac:dyDescent="0.25">
      <c r="B188" s="69"/>
    </row>
    <row r="189" spans="1:112" s="11" customFormat="1" ht="15" customHeight="1" x14ac:dyDescent="0.25">
      <c r="A189" s="25"/>
      <c r="B189" s="69"/>
      <c r="D189" s="12"/>
      <c r="E189" s="12"/>
      <c r="F189" s="12"/>
      <c r="G189" s="12"/>
      <c r="H189" s="105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205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3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</row>
    <row r="190" spans="1:112" s="11" customFormat="1" ht="15" customHeight="1" x14ac:dyDescent="0.25">
      <c r="A190" s="25"/>
      <c r="B190" s="69"/>
      <c r="D190" s="12"/>
      <c r="E190" s="12"/>
      <c r="F190" s="12"/>
      <c r="G190" s="12"/>
      <c r="H190" s="105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205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3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</row>
    <row r="191" spans="1:112" s="11" customFormat="1" ht="15" customHeight="1" x14ac:dyDescent="0.25">
      <c r="A191" s="25"/>
      <c r="B191" s="69"/>
      <c r="D191" s="12"/>
      <c r="E191" s="12"/>
      <c r="F191" s="12"/>
      <c r="G191" s="12"/>
      <c r="H191" s="105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205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3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</row>
    <row r="192" spans="1:112" s="11" customFormat="1" ht="15" customHeight="1" x14ac:dyDescent="0.25">
      <c r="A192" s="25"/>
      <c r="B192" s="69"/>
      <c r="D192" s="12"/>
      <c r="E192" s="12"/>
      <c r="F192" s="12"/>
      <c r="G192" s="12"/>
      <c r="H192" s="105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205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3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</row>
    <row r="193" spans="1:112" s="11" customFormat="1" ht="15" customHeight="1" x14ac:dyDescent="0.25">
      <c r="A193" s="25"/>
      <c r="B193" s="69"/>
      <c r="D193" s="12"/>
      <c r="E193" s="12"/>
      <c r="F193" s="12"/>
      <c r="G193" s="12"/>
      <c r="H193" s="105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205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3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</row>
    <row r="194" spans="1:112" s="11" customFormat="1" ht="15" customHeight="1" x14ac:dyDescent="0.25">
      <c r="A194" s="25"/>
      <c r="B194" s="69"/>
      <c r="D194" s="12"/>
      <c r="E194" s="12"/>
      <c r="F194" s="12"/>
      <c r="G194" s="12"/>
      <c r="H194" s="105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205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3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</row>
    <row r="195" spans="1:112" s="11" customFormat="1" ht="15" customHeight="1" x14ac:dyDescent="0.25">
      <c r="A195" s="25"/>
      <c r="B195" s="69"/>
      <c r="D195" s="12"/>
      <c r="E195" s="12"/>
      <c r="F195" s="12"/>
      <c r="G195" s="12"/>
      <c r="H195" s="105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205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3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</row>
    <row r="196" spans="1:112" s="11" customFormat="1" ht="15" customHeight="1" x14ac:dyDescent="0.25">
      <c r="A196" s="25"/>
      <c r="B196" s="69"/>
      <c r="D196" s="12"/>
      <c r="E196" s="12"/>
      <c r="F196" s="12"/>
      <c r="G196" s="12"/>
      <c r="H196" s="105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205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3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</row>
    <row r="197" spans="1:112" s="11" customFormat="1" ht="15" customHeight="1" x14ac:dyDescent="0.25">
      <c r="A197" s="25"/>
      <c r="B197" s="69"/>
      <c r="D197" s="12"/>
      <c r="E197" s="12"/>
      <c r="F197" s="12"/>
      <c r="G197" s="12"/>
      <c r="H197" s="105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205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3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</row>
    <row r="198" spans="1:112" s="11" customFormat="1" ht="15" customHeight="1" x14ac:dyDescent="0.25">
      <c r="A198" s="25"/>
      <c r="B198" s="69"/>
      <c r="D198" s="12"/>
      <c r="E198" s="12"/>
      <c r="F198" s="12"/>
      <c r="G198" s="12"/>
      <c r="H198" s="105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205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3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</row>
    <row r="199" spans="1:112" s="11" customFormat="1" ht="15" customHeight="1" x14ac:dyDescent="0.25">
      <c r="A199" s="25"/>
      <c r="B199" s="69"/>
      <c r="D199" s="12"/>
      <c r="E199" s="12"/>
      <c r="F199" s="12"/>
      <c r="G199" s="12"/>
      <c r="H199" s="105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205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3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</row>
    <row r="200" spans="1:112" s="11" customFormat="1" ht="15" customHeight="1" x14ac:dyDescent="0.25">
      <c r="A200" s="25"/>
      <c r="B200" s="69"/>
      <c r="D200" s="12"/>
      <c r="E200" s="12"/>
      <c r="F200" s="12"/>
      <c r="G200" s="12"/>
      <c r="H200" s="105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205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3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</row>
    <row r="201" spans="1:112" s="11" customFormat="1" ht="15" customHeight="1" x14ac:dyDescent="0.25">
      <c r="A201" s="25"/>
      <c r="B201" s="69"/>
      <c r="D201" s="12"/>
      <c r="E201" s="12"/>
      <c r="F201" s="12"/>
      <c r="G201" s="12"/>
      <c r="H201" s="105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205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3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</row>
    <row r="202" spans="1:112" s="11" customFormat="1" ht="15" customHeight="1" x14ac:dyDescent="0.25">
      <c r="A202" s="25"/>
      <c r="B202" s="69"/>
      <c r="D202" s="12"/>
      <c r="E202" s="12"/>
      <c r="F202" s="12"/>
      <c r="G202" s="12"/>
      <c r="H202" s="105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205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3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</row>
    <row r="203" spans="1:112" s="11" customFormat="1" ht="15" customHeight="1" x14ac:dyDescent="0.25">
      <c r="A203" s="25"/>
      <c r="B203" s="69"/>
      <c r="D203" s="12"/>
      <c r="E203" s="12"/>
      <c r="F203" s="12"/>
      <c r="G203" s="12"/>
      <c r="H203" s="105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205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3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</row>
    <row r="204" spans="1:112" s="11" customFormat="1" ht="15" customHeight="1" x14ac:dyDescent="0.25">
      <c r="A204" s="25"/>
      <c r="B204" s="69"/>
      <c r="D204" s="12"/>
      <c r="E204" s="12"/>
      <c r="F204" s="12"/>
      <c r="G204" s="12"/>
      <c r="H204" s="105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205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3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</row>
    <row r="205" spans="1:112" s="11" customFormat="1" ht="15" customHeight="1" x14ac:dyDescent="0.25">
      <c r="A205" s="25"/>
      <c r="B205" s="69"/>
      <c r="D205" s="12"/>
      <c r="E205" s="12"/>
      <c r="F205" s="12"/>
      <c r="G205" s="12"/>
      <c r="H205" s="105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205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3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</row>
    <row r="206" spans="1:112" s="11" customFormat="1" ht="15" customHeight="1" x14ac:dyDescent="0.25">
      <c r="A206" s="25"/>
      <c r="B206" s="69"/>
      <c r="D206" s="12"/>
      <c r="E206" s="12"/>
      <c r="F206" s="12"/>
      <c r="G206" s="12"/>
      <c r="H206" s="105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205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3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</row>
    <row r="207" spans="1:112" s="11" customFormat="1" ht="15" customHeight="1" x14ac:dyDescent="0.25">
      <c r="A207" s="25"/>
      <c r="B207" s="69"/>
      <c r="D207" s="12"/>
      <c r="E207" s="12"/>
      <c r="F207" s="12"/>
      <c r="G207" s="12"/>
      <c r="H207" s="105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205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3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</row>
    <row r="208" spans="1:112" s="11" customFormat="1" ht="15" customHeight="1" x14ac:dyDescent="0.25">
      <c r="A208" s="25"/>
      <c r="B208" s="69"/>
      <c r="D208" s="12"/>
      <c r="E208" s="12"/>
      <c r="F208" s="12"/>
      <c r="G208" s="12"/>
      <c r="H208" s="105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205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3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</row>
    <row r="209" spans="1:112" s="11" customFormat="1" ht="15" customHeight="1" x14ac:dyDescent="0.25">
      <c r="A209" s="25"/>
      <c r="B209" s="69"/>
      <c r="D209" s="12"/>
      <c r="E209" s="12"/>
      <c r="F209" s="12"/>
      <c r="G209" s="12"/>
      <c r="H209" s="105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205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3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</row>
    <row r="210" spans="1:112" ht="15" customHeight="1" x14ac:dyDescent="0.25">
      <c r="A210" s="12"/>
      <c r="B210" s="69"/>
      <c r="C210" s="12"/>
      <c r="H210" s="107"/>
      <c r="AM210" s="12"/>
    </row>
    <row r="211" spans="1:112" ht="15" customHeight="1" x14ac:dyDescent="0.25">
      <c r="A211" s="12"/>
      <c r="B211" s="69"/>
      <c r="C211" s="12"/>
      <c r="H211" s="107"/>
      <c r="AM211" s="12"/>
    </row>
  </sheetData>
  <sortState ref="A136:GQ151">
    <sortCondition ref="E136:E151"/>
  </sortState>
  <mergeCells count="2">
    <mergeCell ref="E159:F159"/>
    <mergeCell ref="I3:AL3"/>
  </mergeCells>
  <conditionalFormatting sqref="A7:A109 A111:A157">
    <cfRule type="cellIs" dxfId="42" priority="186" stopIfTrue="1" operator="equal">
      <formula>0</formula>
    </cfRule>
    <cfRule type="cellIs" dxfId="41" priority="187" operator="greaterThan">
      <formula>0.1</formula>
    </cfRule>
  </conditionalFormatting>
  <conditionalFormatting sqref="A154:A157 A7:A34 A137:A152">
    <cfRule type="cellIs" dxfId="40" priority="175" stopIfTrue="1" operator="equal">
      <formula>0</formula>
    </cfRule>
    <cfRule type="cellIs" dxfId="39" priority="176" operator="lessThan">
      <formula>0-1</formula>
    </cfRule>
    <cfRule type="cellIs" dxfId="38" priority="177" operator="greaterThan">
      <formula>0.1</formula>
    </cfRule>
  </conditionalFormatting>
  <conditionalFormatting sqref="A7:A109 A111:A157">
    <cfRule type="cellIs" dxfId="37" priority="168" operator="lessThan">
      <formula>0-1</formula>
    </cfRule>
  </conditionalFormatting>
  <conditionalFormatting sqref="Q137:S152 U137:W152 Y137:AA152 AC137:AM152 H137:O152 H153:AM157">
    <cfRule type="cellIs" dxfId="36" priority="93" stopIfTrue="1" operator="lessThan">
      <formula>(#REF!)</formula>
    </cfRule>
  </conditionalFormatting>
  <conditionalFormatting sqref="Q137:S152 U137:W152 Y137:AA152 AC137:AM152 H137:O152 H153:AM157">
    <cfRule type="cellIs" dxfId="35" priority="92" stopIfTrue="1" operator="greaterThan">
      <formula>(#REF!)</formula>
    </cfRule>
  </conditionalFormatting>
  <conditionalFormatting sqref="Y156:AA156 AD156:AF156 I148:K149 M148:O149">
    <cfRule type="cellIs" dxfId="34" priority="87" stopIfTrue="1" operator="lessThan">
      <formula>(#REF!)</formula>
    </cfRule>
  </conditionalFormatting>
  <conditionalFormatting sqref="Y156:AA156 AD156:AF156 I148:K149 M148:O149 H143:O144">
    <cfRule type="cellIs" dxfId="33" priority="86" stopIfTrue="1" operator="greaterThan">
      <formula>(#REF!)</formula>
    </cfRule>
  </conditionalFormatting>
  <conditionalFormatting sqref="AH156:AJ156 H143:O144">
    <cfRule type="cellIs" dxfId="32" priority="81" stopIfTrue="1" operator="lessThan">
      <formula>(#REF!)</formula>
    </cfRule>
  </conditionalFormatting>
  <conditionalFormatting sqref="AH156:AJ156">
    <cfRule type="cellIs" dxfId="31" priority="80" stopIfTrue="1" operator="greaterThan">
      <formula>(#REF!)</formula>
    </cfRule>
  </conditionalFormatting>
  <conditionalFormatting sqref="Q143:S144 U143:W144 Y143:AA144 AC143:AM144">
    <cfRule type="cellIs" dxfId="30" priority="66" stopIfTrue="1" operator="lessThan">
      <formula>(#REF!)</formula>
    </cfRule>
  </conditionalFormatting>
  <conditionalFormatting sqref="Q143:S144 U143:W144 Y143:AA144 AC143:AM144">
    <cfRule type="cellIs" dxfId="29" priority="65" stopIfTrue="1" operator="greaterThan">
      <formula>(#REF!)</formula>
    </cfRule>
  </conditionalFormatting>
  <conditionalFormatting sqref="A143:A144">
    <cfRule type="cellIs" dxfId="28" priority="63" stopIfTrue="1" operator="equal">
      <formula>0</formula>
    </cfRule>
    <cfRule type="cellIs" dxfId="27" priority="64" operator="greaterThan">
      <formula>0.1</formula>
    </cfRule>
  </conditionalFormatting>
  <conditionalFormatting sqref="A143:A144">
    <cfRule type="cellIs" dxfId="26" priority="58" stopIfTrue="1" operator="equal">
      <formula>0</formula>
    </cfRule>
    <cfRule type="cellIs" dxfId="25" priority="59" operator="lessThan">
      <formula>0-1</formula>
    </cfRule>
    <cfRule type="cellIs" dxfId="24" priority="60" operator="greaterThan">
      <formula>0.1</formula>
    </cfRule>
  </conditionalFormatting>
  <conditionalFormatting sqref="A143:A144">
    <cfRule type="cellIs" dxfId="23" priority="57" operator="lessThan">
      <formula>0-1</formula>
    </cfRule>
  </conditionalFormatting>
  <conditionalFormatting sqref="A143:A144">
    <cfRule type="cellIs" dxfId="22" priority="55" stopIfTrue="1" operator="equal">
      <formula>0</formula>
    </cfRule>
    <cfRule type="cellIs" dxfId="21" priority="56" operator="greaterThan">
      <formula>0.1</formula>
    </cfRule>
  </conditionalFormatting>
  <conditionalFormatting sqref="A143:A144">
    <cfRule type="cellIs" dxfId="20" priority="50" stopIfTrue="1" operator="equal">
      <formula>0</formula>
    </cfRule>
    <cfRule type="cellIs" dxfId="19" priority="51" operator="lessThan">
      <formula>0-1</formula>
    </cfRule>
    <cfRule type="cellIs" dxfId="18" priority="52" operator="greaterThan">
      <formula>0.1</formula>
    </cfRule>
  </conditionalFormatting>
  <conditionalFormatting sqref="A143:A144">
    <cfRule type="cellIs" dxfId="17" priority="49" operator="lessThan">
      <formula>0-1</formula>
    </cfRule>
  </conditionalFormatting>
  <conditionalFormatting sqref="Q143:S144 U143:W144 Y143:AA144 AC143:AM144 H143:O144">
    <cfRule type="cellIs" dxfId="16" priority="47" stopIfTrue="1" operator="lessThan">
      <formula>(#REF!)</formula>
    </cfRule>
  </conditionalFormatting>
  <conditionalFormatting sqref="Q143:S144 U143:W144 Y143:AA144 AC143:AM144">
    <cfRule type="cellIs" dxfId="15" priority="46" stopIfTrue="1" operator="greaterThan">
      <formula>(#REF!)</formula>
    </cfRule>
  </conditionalFormatting>
  <conditionalFormatting sqref="AM128:AM129">
    <cfRule type="cellIs" dxfId="14" priority="43" stopIfTrue="1" operator="lessThan">
      <formula>(#REF!)</formula>
    </cfRule>
  </conditionalFormatting>
  <conditionalFormatting sqref="AM128:AM129">
    <cfRule type="cellIs" dxfId="13" priority="42" stopIfTrue="1" operator="greaterThan">
      <formula>(#REF!)</formula>
    </cfRule>
  </conditionalFormatting>
  <conditionalFormatting sqref="AM119">
    <cfRule type="cellIs" dxfId="12" priority="39" stopIfTrue="1" operator="lessThan">
      <formula>(#REF!)</formula>
    </cfRule>
  </conditionalFormatting>
  <conditionalFormatting sqref="AM119">
    <cfRule type="cellIs" dxfId="11" priority="38" stopIfTrue="1" operator="greaterThan">
      <formula>(#REF!)</formula>
    </cfRule>
  </conditionalFormatting>
  <conditionalFormatting sqref="AM105">
    <cfRule type="cellIs" dxfId="10" priority="35" stopIfTrue="1" operator="lessThan">
      <formula>(#REF!)</formula>
    </cfRule>
  </conditionalFormatting>
  <conditionalFormatting sqref="AM105">
    <cfRule type="cellIs" dxfId="9" priority="34" stopIfTrue="1" operator="greaterThan">
      <formula>(#REF!)</formula>
    </cfRule>
  </conditionalFormatting>
  <conditionalFormatting sqref="AM79">
    <cfRule type="cellIs" dxfId="8" priority="31" stopIfTrue="1" operator="lessThan">
      <formula>(#REF!)</formula>
    </cfRule>
  </conditionalFormatting>
  <conditionalFormatting sqref="AM79">
    <cfRule type="cellIs" dxfId="7" priority="30" stopIfTrue="1" operator="greaterThan">
      <formula>(#REF!)</formula>
    </cfRule>
  </conditionalFormatting>
  <conditionalFormatting sqref="AM12">
    <cfRule type="cellIs" dxfId="6" priority="27" stopIfTrue="1" operator="lessThan">
      <formula>(#REF!)</formula>
    </cfRule>
  </conditionalFormatting>
  <conditionalFormatting sqref="AM12">
    <cfRule type="cellIs" dxfId="5" priority="26" stopIfTrue="1" operator="greaterThan">
      <formula>(#REF!)</formula>
    </cfRule>
  </conditionalFormatting>
  <conditionalFormatting sqref="A110">
    <cfRule type="cellIs" dxfId="4" priority="24" stopIfTrue="1" operator="equal">
      <formula>0</formula>
    </cfRule>
    <cfRule type="cellIs" dxfId="3" priority="25" operator="greaterThan">
      <formula>0.1</formula>
    </cfRule>
  </conditionalFormatting>
  <conditionalFormatting sqref="A110">
    <cfRule type="cellIs" dxfId="2" priority="21" operator="lessThan">
      <formula>0-1</formula>
    </cfRule>
  </conditionalFormatting>
  <conditionalFormatting sqref="X153:X157 X35:X36 X135">
    <cfRule type="cellIs" dxfId="1" priority="16" stopIfTrue="1" operator="lessThan">
      <formula>(#REF!)</formula>
    </cfRule>
  </conditionalFormatting>
  <conditionalFormatting sqref="X153:X157 X35:X36 X135">
    <cfRule type="cellIs" dxfId="0" priority="15" stopIfTrue="1" operator="greaterThan">
      <formula>(#REF!)</formula>
    </cfRule>
  </conditionalFormatting>
  <pageMargins left="0.37" right="0.3" top="0.51" bottom="1" header="0.3" footer="0.3"/>
  <pageSetup scale="34" fitToHeight="5" orientation="landscape" copies="20" r:id="rId1"/>
  <headerFooter>
    <oddHeader>&amp;Lwww.wilmapco.org/tip&amp;C DRAFT  WILMAPCO FY 2015-18 Transportation Improvement Program &amp;R&amp;P</oddHeader>
    <oddFooter xml:space="preserve">&amp;L&amp;G&amp;CDraft for Public Comment January 13 - March 4, 2014&amp;R&amp;8DRAFT November 14, 2013&amp;11  </oddFooter>
  </headerFooter>
  <rowBreaks count="2" manualBreakCount="2">
    <brk id="56" max="125" man="1"/>
    <brk id="158" max="12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 2014</vt:lpstr>
      <vt:lpstr>'March 2014'!Print_Area</vt:lpstr>
      <vt:lpstr>'March 2014'!Print_Titles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Dunigan</dc:creator>
  <cp:lastModifiedBy>Heather Dunigan</cp:lastModifiedBy>
  <cp:lastPrinted>2014-02-24T17:09:58Z</cp:lastPrinted>
  <dcterms:created xsi:type="dcterms:W3CDTF">2012-06-07T19:21:46Z</dcterms:created>
  <dcterms:modified xsi:type="dcterms:W3CDTF">2014-03-17T16:43:51Z</dcterms:modified>
</cp:coreProperties>
</file>